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BOOK B\Roof\Camtasia\"/>
    </mc:Choice>
  </mc:AlternateContent>
  <xr:revisionPtr revIDLastSave="0" documentId="8_{669B1BF0-DE71-494D-B086-2BB1A6F97DDB}" xr6:coauthVersionLast="46" xr6:coauthVersionMax="46" xr10:uidLastSave="{00000000-0000-0000-0000-000000000000}"/>
  <bookViews>
    <workbookView xWindow="-113" yWindow="-113" windowWidth="24267" windowHeight="13148" xr2:uid="{B79B322F-4143-4728-BF30-DA927568DB74}"/>
  </bookViews>
  <sheets>
    <sheet name="Input" sheetId="1" r:id="rId1"/>
    <sheet name=" Cost Material" sheetId="2" r:id="rId2"/>
    <sheet name="Cost Labor_Ovhd" sheetId="3" r:id="rId3"/>
    <sheet name="Profit Analysis" sheetId="5" r:id="rId4"/>
    <sheet name="Cost Report" sheetId="4" r:id="rId5"/>
  </sheets>
  <definedNames>
    <definedName name="_xlnm.Print_Area" localSheetId="4">'Cost Report'!$B$1:$G$49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4" l="1"/>
  <c r="M28" i="4"/>
  <c r="M26" i="4"/>
  <c r="M23" i="4"/>
  <c r="M24" i="4"/>
  <c r="M22" i="4"/>
  <c r="E15" i="4"/>
  <c r="D15" i="4"/>
  <c r="C15" i="4"/>
  <c r="E12" i="4"/>
  <c r="D12" i="4"/>
  <c r="C12" i="4"/>
  <c r="B19" i="4"/>
  <c r="B18" i="4"/>
  <c r="B16" i="4"/>
  <c r="B15" i="4"/>
  <c r="B9" i="4"/>
  <c r="B8" i="4"/>
  <c r="E7" i="4"/>
  <c r="D7" i="4"/>
  <c r="C7" i="4"/>
  <c r="B7" i="4"/>
  <c r="E19" i="2"/>
  <c r="D19" i="2"/>
  <c r="C19" i="2"/>
  <c r="C5" i="4"/>
  <c r="C4" i="4"/>
  <c r="F3" i="4"/>
  <c r="E3" i="4"/>
  <c r="D3" i="4"/>
  <c r="C3" i="4"/>
  <c r="C2" i="4"/>
  <c r="J6" i="5"/>
  <c r="J5" i="5"/>
  <c r="J4" i="5"/>
  <c r="D18" i="4" s="1"/>
  <c r="H5" i="5"/>
  <c r="H6" i="5"/>
  <c r="H4" i="5"/>
  <c r="F5" i="5"/>
  <c r="F6" i="5"/>
  <c r="F4" i="5"/>
  <c r="K3" i="5"/>
  <c r="J3" i="5"/>
  <c r="I3" i="5"/>
  <c r="H3" i="5"/>
  <c r="C3" i="5"/>
  <c r="B3" i="5"/>
  <c r="C11" i="3"/>
  <c r="C16" i="3"/>
  <c r="C12" i="3"/>
  <c r="C10" i="3"/>
  <c r="C6" i="3"/>
  <c r="C5" i="3"/>
  <c r="C4" i="3"/>
  <c r="C7" i="3" s="1"/>
  <c r="C3" i="3"/>
  <c r="C2" i="3"/>
  <c r="AO8" i="1"/>
  <c r="AO9" i="1" s="1"/>
  <c r="AO7" i="1"/>
  <c r="E12" i="2"/>
  <c r="E11" i="2"/>
  <c r="E16" i="2"/>
  <c r="C15" i="2"/>
  <c r="E15" i="2" s="1"/>
  <c r="C13" i="2"/>
  <c r="E13" i="2" s="1"/>
  <c r="C12" i="2"/>
  <c r="C11" i="2"/>
  <c r="C10" i="2"/>
  <c r="E10" i="2" s="1"/>
  <c r="C9" i="2"/>
  <c r="E9" i="2" s="1"/>
  <c r="C8" i="2"/>
  <c r="E8" i="2" s="1"/>
  <c r="C6" i="2"/>
  <c r="E6" i="2" s="1"/>
  <c r="C7" i="2"/>
  <c r="E7" i="2" s="1"/>
  <c r="C14" i="2"/>
  <c r="E14" i="2" s="1"/>
  <c r="C3" i="2"/>
  <c r="AG2" i="1"/>
  <c r="AG3" i="1" s="1"/>
  <c r="AG4" i="1" s="1"/>
  <c r="AG5" i="1" s="1"/>
  <c r="AG6" i="1" s="1"/>
  <c r="AG7" i="1" s="1"/>
  <c r="AG8" i="1" s="1"/>
  <c r="AG9" i="1" s="1"/>
  <c r="AF2" i="1"/>
  <c r="AF3" i="1" s="1"/>
  <c r="AF4" i="1" s="1"/>
  <c r="AF5" i="1" s="1"/>
  <c r="AF6" i="1" s="1"/>
  <c r="AF7" i="1" s="1"/>
  <c r="AF8" i="1" s="1"/>
  <c r="AF9" i="1" s="1"/>
  <c r="AF10" i="1" s="1"/>
  <c r="AF11" i="1" s="1"/>
  <c r="AF12" i="1" s="1"/>
  <c r="AF13" i="1" s="1"/>
  <c r="AF14" i="1" s="1"/>
  <c r="AF15" i="1" s="1"/>
  <c r="AF16" i="1" s="1"/>
  <c r="C18" i="4" l="1"/>
  <c r="E18" i="4"/>
  <c r="E18" i="2"/>
  <c r="C20" i="2" s="1"/>
  <c r="AO10" i="1"/>
  <c r="E20" i="2" l="1"/>
  <c r="E21" i="2" s="1"/>
  <c r="E22" i="2" s="1"/>
  <c r="D20" i="2"/>
  <c r="D21" i="2" s="1"/>
  <c r="D22" i="2" s="1"/>
  <c r="D23" i="2" s="1"/>
  <c r="D8" i="4" s="1"/>
  <c r="C21" i="2"/>
  <c r="C22" i="2" s="1"/>
  <c r="E23" i="2"/>
  <c r="E8" i="4" s="1"/>
  <c r="O7" i="4" l="1"/>
  <c r="N7" i="4"/>
  <c r="E13" i="3"/>
  <c r="E15" i="3" s="1"/>
  <c r="E17" i="3" s="1"/>
  <c r="E18" i="3" s="1"/>
  <c r="B6" i="5"/>
  <c r="C4" i="5"/>
  <c r="B5" i="5"/>
  <c r="D13" i="3"/>
  <c r="D15" i="3" s="1"/>
  <c r="D17" i="3" s="1"/>
  <c r="D18" i="3" s="1"/>
  <c r="C23" i="2"/>
  <c r="C8" i="4" s="1"/>
  <c r="P7" i="4" l="1"/>
  <c r="C5" i="5"/>
  <c r="D5" i="5" s="1"/>
  <c r="D9" i="4"/>
  <c r="C6" i="5"/>
  <c r="D6" i="5" s="1"/>
  <c r="E9" i="4"/>
  <c r="O11" i="4"/>
  <c r="N23" i="4" s="1"/>
  <c r="O15" i="4"/>
  <c r="N27" i="4" s="1"/>
  <c r="N19" i="4"/>
  <c r="N11" i="4"/>
  <c r="N22" i="4" s="1"/>
  <c r="N15" i="4"/>
  <c r="N26" i="4" s="1"/>
  <c r="N18" i="4"/>
  <c r="B4" i="5"/>
  <c r="D4" i="5" s="1"/>
  <c r="I4" i="5" s="1"/>
  <c r="C16" i="4" s="1"/>
  <c r="C13" i="3"/>
  <c r="C15" i="3" s="1"/>
  <c r="C17" i="3" s="1"/>
  <c r="C18" i="3" s="1"/>
  <c r="C9" i="4" s="1"/>
  <c r="P6" i="4" s="1"/>
  <c r="K6" i="5" l="1"/>
  <c r="E19" i="4" s="1"/>
  <c r="G6" i="5"/>
  <c r="E13" i="4" s="1"/>
  <c r="C21" i="4" s="1"/>
  <c r="K4" i="5"/>
  <c r="C19" i="4" s="1"/>
  <c r="D21" i="4" s="1"/>
  <c r="I6" i="5"/>
  <c r="E16" i="4" s="1"/>
  <c r="P10" i="4"/>
  <c r="O24" i="4" s="1"/>
  <c r="O20" i="4"/>
  <c r="P14" i="4"/>
  <c r="O28" i="4" s="1"/>
  <c r="G4" i="5"/>
  <c r="C13" i="4" s="1"/>
  <c r="P5" i="4" s="1"/>
  <c r="P20" i="4" s="1"/>
  <c r="P15" i="4"/>
  <c r="N28" i="4" s="1"/>
  <c r="N20" i="4"/>
  <c r="P11" i="4"/>
  <c r="N24" i="4" s="1"/>
  <c r="N6" i="4"/>
  <c r="E10" i="4"/>
  <c r="O6" i="4"/>
  <c r="D10" i="4"/>
  <c r="C10" i="4"/>
  <c r="I5" i="5"/>
  <c r="D16" i="4" s="1"/>
  <c r="G5" i="5"/>
  <c r="D13" i="4" s="1"/>
  <c r="K5" i="5"/>
  <c r="D19" i="4" s="1"/>
  <c r="N5" i="4" l="1"/>
  <c r="P18" i="4" s="1"/>
  <c r="P13" i="4"/>
  <c r="P28" i="4" s="1"/>
  <c r="P9" i="4"/>
  <c r="P24" i="4" s="1"/>
  <c r="O10" i="4"/>
  <c r="O23" i="4" s="1"/>
  <c r="O14" i="4"/>
  <c r="O27" i="4" s="1"/>
  <c r="O19" i="4"/>
  <c r="C23" i="4"/>
  <c r="C22" i="4"/>
  <c r="O5" i="4"/>
  <c r="P19" i="4" s="1"/>
  <c r="O18" i="4"/>
  <c r="N10" i="4"/>
  <c r="N14" i="4"/>
  <c r="D23" i="4"/>
  <c r="D22" i="4"/>
  <c r="O26" i="4" l="1"/>
  <c r="N13" i="4"/>
  <c r="P26" i="4" s="1"/>
  <c r="O13" i="4"/>
  <c r="P27" i="4" s="1"/>
  <c r="O9" i="4"/>
  <c r="P23" i="4" s="1"/>
  <c r="O22" i="4"/>
  <c r="N9" i="4"/>
  <c r="P22" i="4" s="1"/>
</calcChain>
</file>

<file path=xl/sharedStrings.xml><?xml version="1.0" encoding="utf-8"?>
<sst xmlns="http://schemas.openxmlformats.org/spreadsheetml/2006/main" count="182" uniqueCount="143">
  <si>
    <t>ASHPALT SHINGLE ROOF COST ESTIMATOR</t>
  </si>
  <si>
    <t>Owner name:</t>
  </si>
  <si>
    <t>Address of roofing project:</t>
  </si>
  <si>
    <t xml:space="preserve">     Street:</t>
  </si>
  <si>
    <t xml:space="preserve">     State:</t>
  </si>
  <si>
    <t xml:space="preserve">     City:</t>
  </si>
  <si>
    <t xml:space="preserve">     Zip:</t>
  </si>
  <si>
    <t>Owner Input Information:</t>
  </si>
  <si>
    <t>Clear</t>
  </si>
  <si>
    <t>Yes</t>
  </si>
  <si>
    <t>No</t>
  </si>
  <si>
    <t>Google Aerial Map View Available (drop down selection):</t>
  </si>
  <si>
    <t>Roof Area, Square Feet:</t>
  </si>
  <si>
    <t>Eave Length, Feet:</t>
  </si>
  <si>
    <t>Rake Length, Feet:</t>
  </si>
  <si>
    <t>Hip Length, Feet:</t>
  </si>
  <si>
    <t>Ridge Length, Feet:</t>
  </si>
  <si>
    <t>Valley Length, Feet:</t>
  </si>
  <si>
    <r>
      <t xml:space="preserve">Chimney cricket required?:  </t>
    </r>
    <r>
      <rPr>
        <sz val="8"/>
        <color theme="1"/>
        <rFont val="Calibri"/>
        <family val="2"/>
        <scheme val="minor"/>
      </rPr>
      <t>(Default to No if no selection)</t>
    </r>
  </si>
  <si>
    <r>
      <t xml:space="preserve">Number stories (drop down selection) </t>
    </r>
    <r>
      <rPr>
        <sz val="8"/>
        <color theme="1"/>
        <rFont val="Calibri"/>
        <family val="2"/>
        <scheme val="minor"/>
      </rPr>
      <t>(Default to 1 if no selection)</t>
    </r>
  </si>
  <si>
    <t>Number of rent vents / penetratons:</t>
  </si>
  <si>
    <r>
      <t xml:space="preserve">Satellite dish?  </t>
    </r>
    <r>
      <rPr>
        <sz val="8"/>
        <color theme="1"/>
        <rFont val="Calibri"/>
        <family val="2"/>
        <scheme val="minor"/>
      </rPr>
      <t>(Default to No if no selection)</t>
    </r>
  </si>
  <si>
    <r>
      <t xml:space="preserve">Underlayment type desired:  </t>
    </r>
    <r>
      <rPr>
        <sz val="8"/>
        <color theme="1"/>
        <rFont val="Calibri"/>
        <family val="2"/>
        <scheme val="minor"/>
      </rPr>
      <t>(Default to synthetic if no selection)</t>
    </r>
  </si>
  <si>
    <t>Tar Paper</t>
  </si>
  <si>
    <t>Synthetic</t>
  </si>
  <si>
    <t>Valley Only</t>
  </si>
  <si>
    <t>Valley+Eaves+Rakes</t>
  </si>
  <si>
    <t>Entire Roof</t>
  </si>
  <si>
    <r>
      <t xml:space="preserve">Ice/Water Barrier location:  </t>
    </r>
    <r>
      <rPr>
        <sz val="8"/>
        <color theme="1"/>
        <rFont val="Calibri"/>
        <family val="2"/>
        <scheme val="minor"/>
      </rPr>
      <t>(Default to valley only if no selection)</t>
    </r>
  </si>
  <si>
    <r>
      <t xml:space="preserve">New Flashing For Walls/Abutements?  </t>
    </r>
    <r>
      <rPr>
        <sz val="8"/>
        <color theme="1"/>
        <rFont val="Calibri"/>
        <family val="2"/>
        <scheme val="minor"/>
      </rPr>
      <t>(Default to no if no selection)</t>
    </r>
  </si>
  <si>
    <r>
      <t xml:space="preserve">Percent Excess Material For Wastage: </t>
    </r>
    <r>
      <rPr>
        <sz val="8"/>
        <color theme="1"/>
        <rFont val="Calibri"/>
        <family val="2"/>
        <scheme val="minor"/>
      </rPr>
      <t>(Default to 8% if not selection)</t>
    </r>
  </si>
  <si>
    <t>Specifications:</t>
  </si>
  <si>
    <t>Shingle cost per bundle, 33 square feet:</t>
  </si>
  <si>
    <t>Drip Edge Cost per 10 feet:</t>
  </si>
  <si>
    <t>(Default to $33 if no input)</t>
  </si>
  <si>
    <t>(Default to $3 if no input)</t>
  </si>
  <si>
    <t>Ice/Water Barrier per 66 feet:</t>
  </si>
  <si>
    <t>(Default to $88 if no input)</t>
  </si>
  <si>
    <t>Underlayment, 1000 square feet:</t>
  </si>
  <si>
    <t>Ridge Vent, 25 foot length:</t>
  </si>
  <si>
    <t>(Default to $60 if no input)</t>
  </si>
  <si>
    <t>(Default to $80 if no input)</t>
  </si>
  <si>
    <t>Vent Flashing:</t>
  </si>
  <si>
    <t>(Default to $30 if no input)</t>
  </si>
  <si>
    <t>(Default to $48 if no input)</t>
  </si>
  <si>
    <t>(Default to $10 if no input)</t>
  </si>
  <si>
    <t>Starter Shingle, per 120 feet:</t>
  </si>
  <si>
    <t>Cost Information (adjust cost to match below measurement units:</t>
  </si>
  <si>
    <t>Sales Tax Rate:</t>
  </si>
  <si>
    <t>(Default to 8.5%  if no input)</t>
  </si>
  <si>
    <t>Number of Days To Complete Project:</t>
  </si>
  <si>
    <t>Miscellaneous Material: Nails, Sealant, Paint</t>
  </si>
  <si>
    <t>(Default to $200 if no input)</t>
  </si>
  <si>
    <t>(Default from 5 to 10 depending on No. stories, square foot of roof, if no input)</t>
  </si>
  <si>
    <t>Number Of Roofers If Known:</t>
  </si>
  <si>
    <t>Lookup</t>
  </si>
  <si>
    <t>Hourly Wage Rate of Roofers If Known:</t>
  </si>
  <si>
    <t>(Default to $20/Hr, if no input)</t>
  </si>
  <si>
    <t>(Default to 1 (11 hr day) if no input)</t>
  </si>
  <si>
    <t>1 Square = 100 Square Feet</t>
  </si>
  <si>
    <t>Project Number of Squares:</t>
  </si>
  <si>
    <t>Quantity</t>
  </si>
  <si>
    <t>Cost</t>
  </si>
  <si>
    <t>Shingles:</t>
  </si>
  <si>
    <t>Drip Edge:</t>
  </si>
  <si>
    <t>Ice/Water Barrier:</t>
  </si>
  <si>
    <t>Underlayment:</t>
  </si>
  <si>
    <t>Ridge Vent:</t>
  </si>
  <si>
    <t>Flashing Misc.:</t>
  </si>
  <si>
    <t>Misc. Material (Nails, Paint, Seal)</t>
  </si>
  <si>
    <t>Starter Shingles, feet:</t>
  </si>
  <si>
    <t>square feet</t>
  </si>
  <si>
    <t>feet</t>
  </si>
  <si>
    <t>Ridge Cap Shingles, 4 feet</t>
  </si>
  <si>
    <t>Hip Ridge Cap Shingle:</t>
  </si>
  <si>
    <t>Ridge Cap Shingle:</t>
  </si>
  <si>
    <t>Hip Cap Shingles, 4 feet</t>
  </si>
  <si>
    <t>number</t>
  </si>
  <si>
    <t>If Yes, Insert feet of new flashing=</t>
  </si>
  <si>
    <t>various</t>
  </si>
  <si>
    <t>Misc Flashing, 10 feet</t>
  </si>
  <si>
    <t>(Default to $20 if no input)</t>
  </si>
  <si>
    <t>Miscellaneous</t>
  </si>
  <si>
    <t>TOTAL MATERIAL COST BEFORE TAX/                      BEFORE CONTRACTOR DISCOUNT=</t>
  </si>
  <si>
    <t>CONTRACTOR MATERIAL DISCOUNT</t>
  </si>
  <si>
    <t>Discount</t>
  </si>
  <si>
    <t>TOTAL MATERIAL COST BEFORE TAX/                           AFTER CONTRACTOR DISCOUNT</t>
  </si>
  <si>
    <t>TAX</t>
  </si>
  <si>
    <t>Miscellaneous  cost adjustment (+ or -), at discretion of Owner</t>
  </si>
  <si>
    <t>2021 Material Retail Cost Estimate (Lowes/Home Depot)</t>
  </si>
  <si>
    <t>*</t>
  </si>
  <si>
    <t># Stories</t>
  </si>
  <si>
    <t>&lt;3000</t>
  </si>
  <si>
    <t>&gt;3000</t>
  </si>
  <si>
    <t>Number roofers lookup table:</t>
  </si>
  <si>
    <t xml:space="preserve">Lookup value, # stories= </t>
  </si>
  <si>
    <t>Lookup roof size=</t>
  </si>
  <si>
    <t>Column number=</t>
  </si>
  <si>
    <t>Vlookup no. roofers=</t>
  </si>
  <si>
    <t>Number stories=</t>
  </si>
  <si>
    <t>Area of roof=</t>
  </si>
  <si>
    <t>Number of roofers=</t>
  </si>
  <si>
    <t>Roofer hourly rate=</t>
  </si>
  <si>
    <t>Number of days to install roof (11hr/d) =</t>
  </si>
  <si>
    <t>Roofer cost =</t>
  </si>
  <si>
    <t xml:space="preserve">Other cost </t>
  </si>
  <si>
    <t>Building Permit (square foot) =</t>
  </si>
  <si>
    <t>Removed shingle disposal cost (landfill) =</t>
  </si>
  <si>
    <t>Overhead rate =</t>
  </si>
  <si>
    <r>
      <t xml:space="preserve">Overhead cost (based on % of Total Material Cost After Discount With Tax)  : </t>
    </r>
    <r>
      <rPr>
        <sz val="8"/>
        <color theme="1"/>
        <rFont val="Calibri"/>
        <family val="2"/>
        <scheme val="minor"/>
      </rPr>
      <t>Indirect cost to run a business including items such as insurance, advertising, office rent, utilities, transportation, management, legal, tax, accounting, depreciation of equipment, drone, business development, supervisor)</t>
    </r>
  </si>
  <si>
    <t>Tax rate=</t>
  </si>
  <si>
    <t>Tax =</t>
  </si>
  <si>
    <t>Total Labor and Other Cost Before Tax=</t>
  </si>
  <si>
    <t>Landfill disposal cost =</t>
  </si>
  <si>
    <t>TOTAL MATERIAL COST AFTER DISCOUNT WITH TAX=</t>
  </si>
  <si>
    <t>Total Material, Labor, Other Cost Before Profit</t>
  </si>
  <si>
    <t>% Profit</t>
  </si>
  <si>
    <t>Total Material, Labor, Other Cost With Profit</t>
  </si>
  <si>
    <t xml:space="preserve">% Profit = </t>
  </si>
  <si>
    <t>Owner Name:</t>
  </si>
  <si>
    <t xml:space="preserve">  Street Address, City, State, Zip</t>
  </si>
  <si>
    <t>Number stories:</t>
  </si>
  <si>
    <t>Square feet roof:</t>
  </si>
  <si>
    <t>Contractor material discount=</t>
  </si>
  <si>
    <t xml:space="preserve">TOTAL LABOR AND OTHER COST AFTER TAX = </t>
  </si>
  <si>
    <t>SUBTOTAL</t>
  </si>
  <si>
    <t>Indicative profit %</t>
  </si>
  <si>
    <t>TOTAL PROJECT COST WITH PROFIT =</t>
  </si>
  <si>
    <t>Range of project cost:</t>
  </si>
  <si>
    <t>Range of project cost per square feet</t>
  </si>
  <si>
    <t xml:space="preserve">Range of project cost per square  </t>
  </si>
  <si>
    <t>Low Cost</t>
  </si>
  <si>
    <t>Medium Cost</t>
  </si>
  <si>
    <t>High Cost</t>
  </si>
  <si>
    <t>Material</t>
  </si>
  <si>
    <t>Labor/Ovhd</t>
  </si>
  <si>
    <t>Profit, 15%</t>
  </si>
  <si>
    <t>Profit, 20%</t>
  </si>
  <si>
    <t>Profit, 30%</t>
  </si>
  <si>
    <t xml:space="preserve">Profit </t>
  </si>
  <si>
    <t>ASPHALT SHINGLE ROOF COST ESTIMATOR REPORT</t>
  </si>
  <si>
    <t>Optional Input Information</t>
  </si>
  <si>
    <t>Mandatory Input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</si>
</sst>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0.0%"/>
    <numFmt numFmtId="165" formatCode="&quot;$&quot;#,##0"/>
    <numFmt numFmtId="166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9" fontId="0" fillId="2" borderId="1" xfId="1" applyFont="1" applyFill="1" applyBorder="1" applyAlignment="1" applyProtection="1">
      <alignment horizontal="center"/>
      <protection locked="0"/>
    </xf>
    <xf numFmtId="165" fontId="0" fillId="6" borderId="4" xfId="0" applyNumberFormat="1" applyFill="1" applyBorder="1" applyAlignment="1" applyProtection="1">
      <alignment horizontal="center"/>
      <protection locked="0"/>
    </xf>
    <xf numFmtId="164" fontId="0" fillId="6" borderId="4" xfId="1" applyNumberFormat="1" applyFont="1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165" fontId="0" fillId="6" borderId="5" xfId="0" applyNumberForma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165" fontId="0" fillId="6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4" borderId="1" xfId="0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3" borderId="1" xfId="0" applyFill="1" applyBorder="1" applyProtection="1"/>
    <xf numFmtId="0" fontId="0" fillId="3" borderId="1" xfId="0" applyFill="1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0" fillId="3" borderId="0" xfId="0" applyFill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0" xfId="0" applyFill="1" applyProtection="1"/>
    <xf numFmtId="0" fontId="0" fillId="3" borderId="2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165" fontId="0" fillId="3" borderId="1" xfId="0" applyNumberFormat="1" applyFill="1" applyBorder="1" applyAlignment="1" applyProtection="1">
      <alignment horizontal="center"/>
    </xf>
    <xf numFmtId="164" fontId="0" fillId="3" borderId="1" xfId="1" applyNumberFormat="1" applyFont="1" applyFill="1" applyBorder="1" applyAlignment="1" applyProtection="1">
      <alignment horizontal="center"/>
    </xf>
    <xf numFmtId="9" fontId="0" fillId="0" borderId="0" xfId="1" applyFont="1" applyProtection="1"/>
    <xf numFmtId="164" fontId="0" fillId="0" borderId="0" xfId="1" applyNumberFormat="1" applyFont="1" applyProtection="1"/>
    <xf numFmtId="0" fontId="0" fillId="0" borderId="0" xfId="0" applyFill="1" applyBorder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center"/>
    </xf>
    <xf numFmtId="9" fontId="0" fillId="0" borderId="0" xfId="0" applyNumberFormat="1" applyProtection="1"/>
    <xf numFmtId="0" fontId="0" fillId="0" borderId="1" xfId="0" applyBorder="1" applyProtection="1"/>
    <xf numFmtId="1" fontId="0" fillId="5" borderId="1" xfId="0" applyNumberFormat="1" applyFill="1" applyBorder="1" applyAlignment="1" applyProtection="1">
      <alignment horizontal="center"/>
    </xf>
    <xf numFmtId="9" fontId="0" fillId="3" borderId="1" xfId="1" applyFont="1" applyFill="1" applyBorder="1" applyAlignment="1" applyProtection="1">
      <alignment horizontal="center"/>
    </xf>
    <xf numFmtId="165" fontId="2" fillId="3" borderId="1" xfId="0" applyNumberFormat="1" applyFont="1" applyFill="1" applyBorder="1" applyAlignment="1" applyProtection="1">
      <alignment horizontal="center"/>
    </xf>
    <xf numFmtId="165" fontId="0" fillId="4" borderId="1" xfId="0" applyNumberFormat="1" applyFill="1" applyBorder="1" applyAlignment="1" applyProtection="1">
      <alignment horizontal="center"/>
    </xf>
    <xf numFmtId="165" fontId="0" fillId="5" borderId="1" xfId="0" applyNumberFormat="1" applyFill="1" applyBorder="1" applyAlignment="1" applyProtection="1">
      <alignment horizontal="center"/>
    </xf>
    <xf numFmtId="0" fontId="0" fillId="5" borderId="1" xfId="0" applyFill="1" applyBorder="1" applyProtection="1"/>
    <xf numFmtId="165" fontId="0" fillId="5" borderId="1" xfId="0" applyNumberFormat="1" applyFill="1" applyBorder="1" applyProtection="1"/>
    <xf numFmtId="6" fontId="0" fillId="5" borderId="1" xfId="0" applyNumberFormat="1" applyFill="1" applyBorder="1" applyProtection="1"/>
    <xf numFmtId="9" fontId="0" fillId="5" borderId="1" xfId="0" applyNumberFormat="1" applyFill="1" applyBorder="1" applyProtection="1"/>
    <xf numFmtId="164" fontId="0" fillId="5" borderId="1" xfId="0" applyNumberFormat="1" applyFill="1" applyBorder="1" applyProtection="1"/>
    <xf numFmtId="0" fontId="0" fillId="0" borderId="1" xfId="0" applyFill="1" applyBorder="1" applyProtection="1"/>
    <xf numFmtId="0" fontId="0" fillId="3" borderId="1" xfId="0" applyFill="1" applyBorder="1" applyAlignment="1" applyProtection="1">
      <alignment horizontal="center" wrapText="1"/>
    </xf>
    <xf numFmtId="0" fontId="0" fillId="5" borderId="1" xfId="0" applyFill="1" applyBorder="1" applyAlignment="1" applyProtection="1">
      <alignment horizontal="center"/>
    </xf>
    <xf numFmtId="165" fontId="0" fillId="0" borderId="0" xfId="0" applyNumberFormat="1" applyProtection="1"/>
    <xf numFmtId="9" fontId="0" fillId="5" borderId="1" xfId="0" applyNumberForma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right"/>
    </xf>
    <xf numFmtId="166" fontId="0" fillId="5" borderId="1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wrapText="1"/>
    </xf>
    <xf numFmtId="0" fontId="0" fillId="3" borderId="5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EE96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RANGE</a:t>
            </a:r>
            <a:r>
              <a:rPr lang="en-US" baseline="0"/>
              <a:t> OF ESTIMATED ASPHALT SHINGLE ROOFING COST</a:t>
            </a:r>
          </a:p>
          <a:p>
            <a:pPr>
              <a:defRPr/>
            </a:pPr>
            <a:r>
              <a:rPr lang="en-US" baseline="0"/>
              <a:t>MATERIAL + LABOR/OVERHEAD + PROFIT</a:t>
            </a:r>
          </a:p>
          <a:p>
            <a:pPr>
              <a:defRPr/>
            </a:pPr>
            <a:r>
              <a:rPr lang="en-US" baseline="0"/>
              <a:t>(Includes: Contractor Material Discount From Supplier, 5% to 15%)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'Cost Report'!$N$17</c:f>
              <c:strCache>
                <c:ptCount val="1"/>
                <c:pt idx="0">
                  <c:v>Material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'Cost Report'!$M$18:$M$28</c:f>
              <c:strCache>
                <c:ptCount val="11"/>
                <c:pt idx="0">
                  <c:v>Low Cost</c:v>
                </c:pt>
                <c:pt idx="1">
                  <c:v>Medium Cost</c:v>
                </c:pt>
                <c:pt idx="2">
                  <c:v>High Cost</c:v>
                </c:pt>
                <c:pt idx="4">
                  <c:v>Low Cost</c:v>
                </c:pt>
                <c:pt idx="5">
                  <c:v>Medium Cost</c:v>
                </c:pt>
                <c:pt idx="6">
                  <c:v>High Cost</c:v>
                </c:pt>
                <c:pt idx="8">
                  <c:v>Low Cost</c:v>
                </c:pt>
                <c:pt idx="9">
                  <c:v>Medium Cost</c:v>
                </c:pt>
                <c:pt idx="10">
                  <c:v>High Cost</c:v>
                </c:pt>
              </c:strCache>
            </c:strRef>
          </c:cat>
          <c:val>
            <c:numRef>
              <c:f>'Cost Report'!$N$18:$N$28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0-4295-930B-01BBC97E1E14}"/>
            </c:ext>
          </c:extLst>
        </c:ser>
        <c:ser>
          <c:idx val="1"/>
          <c:order val="1"/>
          <c:tx>
            <c:strRef>
              <c:f>'Cost Report'!$O$17</c:f>
              <c:strCache>
                <c:ptCount val="1"/>
                <c:pt idx="0">
                  <c:v>Labor/Ovhd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'Cost Report'!$M$18:$M$28</c:f>
              <c:strCache>
                <c:ptCount val="11"/>
                <c:pt idx="0">
                  <c:v>Low Cost</c:v>
                </c:pt>
                <c:pt idx="1">
                  <c:v>Medium Cost</c:v>
                </c:pt>
                <c:pt idx="2">
                  <c:v>High Cost</c:v>
                </c:pt>
                <c:pt idx="4">
                  <c:v>Low Cost</c:v>
                </c:pt>
                <c:pt idx="5">
                  <c:v>Medium Cost</c:v>
                </c:pt>
                <c:pt idx="6">
                  <c:v>High Cost</c:v>
                </c:pt>
                <c:pt idx="8">
                  <c:v>Low Cost</c:v>
                </c:pt>
                <c:pt idx="9">
                  <c:v>Medium Cost</c:v>
                </c:pt>
                <c:pt idx="10">
                  <c:v>High Cost</c:v>
                </c:pt>
              </c:strCache>
            </c:strRef>
          </c:cat>
          <c:val>
            <c:numRef>
              <c:f>'Cost Report'!$O$18:$O$28</c:f>
              <c:numCache>
                <c:formatCode>"$"#,##0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E0-4295-930B-01BBC97E1E14}"/>
            </c:ext>
          </c:extLst>
        </c:ser>
        <c:ser>
          <c:idx val="2"/>
          <c:order val="2"/>
          <c:tx>
            <c:strRef>
              <c:f>'Cost Report'!$P$17</c:f>
              <c:strCache>
                <c:ptCount val="1"/>
                <c:pt idx="0">
                  <c:v>Profit </c:v>
                </c:pt>
              </c:strCache>
            </c:strRef>
          </c:tx>
          <c:spPr>
            <a:solidFill>
              <a:srgbClr val="EE969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'Cost Report'!$M$18:$M$28</c:f>
              <c:strCache>
                <c:ptCount val="11"/>
                <c:pt idx="0">
                  <c:v>Low Cost</c:v>
                </c:pt>
                <c:pt idx="1">
                  <c:v>Medium Cost</c:v>
                </c:pt>
                <c:pt idx="2">
                  <c:v>High Cost</c:v>
                </c:pt>
                <c:pt idx="4">
                  <c:v>Low Cost</c:v>
                </c:pt>
                <c:pt idx="5">
                  <c:v>Medium Cost</c:v>
                </c:pt>
                <c:pt idx="6">
                  <c:v>High Cost</c:v>
                </c:pt>
                <c:pt idx="8">
                  <c:v>Low Cost</c:v>
                </c:pt>
                <c:pt idx="9">
                  <c:v>Medium Cost</c:v>
                </c:pt>
                <c:pt idx="10">
                  <c:v>High Cost</c:v>
                </c:pt>
              </c:strCache>
            </c:strRef>
          </c:cat>
          <c:val>
            <c:numRef>
              <c:f>'Cost Report'!$P$18:$P$28</c:f>
              <c:numCache>
                <c:formatCode>"$"#,##0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E0-4295-930B-01BBC97E1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154912"/>
        <c:axId val="443160160"/>
      </c:barChart>
      <c:catAx>
        <c:axId val="4431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160160"/>
        <c:crosses val="autoZero"/>
        <c:auto val="1"/>
        <c:lblAlgn val="ctr"/>
        <c:lblOffset val="100"/>
        <c:noMultiLvlLbl val="0"/>
      </c:catAx>
      <c:valAx>
        <c:axId val="44316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1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143122</xdr:colOff>
      <xdr:row>23</xdr:row>
      <xdr:rowOff>123241</xdr:rowOff>
    </xdr:from>
    <xdr:to>
      <xdr:col>6</xdr:col>
      <xdr:colOff>588396</xdr:colOff>
      <xdr:row>48</xdr:row>
      <xdr:rowOff>39754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C521A2-0F9C-4955-9104-E14910486C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0.75634</cdr:x>
      <cdr:y>0.19744</cdr:y>
    </cdr:from>
    <cdr:to>
      <cdr:x>0.95711</cdr:x>
      <cdr:y>0.24557</cdr:y>
    </cdr:to>
    <cdr:sp macro="" textlink="">
      <cdr:nvSpPr>
        <cdr:cNvPr id="3" name="Left Brace 2">
          <a:extLst xmlns:a="http://schemas.openxmlformats.org/drawingml/2006/main">
            <a:ext uri="{FF2B5EF4-FFF2-40B4-BE49-F238E27FC236}">
              <a16:creationId xmlns:a16="http://schemas.microsoft.com/office/drawing/2014/main" id="{E3F831F2-0608-4413-A213-9AE3C4EB7570}"/>
            </a:ext>
          </a:extLst>
        </cdr:cNvPr>
        <cdr:cNvSpPr/>
      </cdr:nvSpPr>
      <cdr:spPr>
        <a:xfrm xmlns:a="http://schemas.openxmlformats.org/drawingml/2006/main" rot="16200000">
          <a:off x="6753753" y="233683"/>
          <a:ext cx="225620" cy="1609145"/>
        </a:xfrm>
        <a:prstGeom xmlns:a="http://schemas.openxmlformats.org/drawingml/2006/main" prst="leftBrac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0.42697</cdr:x>
      <cdr:y>0.24324</cdr:y>
    </cdr:from>
    <cdr:to>
      <cdr:x>0.62774</cdr:x>
      <cdr:y>0.29137</cdr:y>
    </cdr:to>
    <cdr:sp macro="" textlink="">
      <cdr:nvSpPr>
        <cdr:cNvPr id="5" name="Left Brace 4">
          <a:extLst xmlns:a="http://schemas.openxmlformats.org/drawingml/2006/main">
            <a:ext uri="{FF2B5EF4-FFF2-40B4-BE49-F238E27FC236}">
              <a16:creationId xmlns:a16="http://schemas.microsoft.com/office/drawing/2014/main" id="{E3F831F2-0608-4413-A213-9AE3C4EB7570}"/>
            </a:ext>
          </a:extLst>
        </cdr:cNvPr>
        <cdr:cNvSpPr/>
      </cdr:nvSpPr>
      <cdr:spPr>
        <a:xfrm xmlns:a="http://schemas.openxmlformats.org/drawingml/2006/main" rot="5400000">
          <a:off x="4113918" y="448367"/>
          <a:ext cx="225620" cy="1609145"/>
        </a:xfrm>
        <a:prstGeom xmlns:a="http://schemas.openxmlformats.org/drawingml/2006/main" prst="leftBrac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0.15774</cdr:x>
      <cdr:y>0.17897</cdr:y>
    </cdr:from>
    <cdr:to>
      <cdr:x>0.24504</cdr:x>
      <cdr:y>0.23155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6A2FB302-C2F1-4C1E-A998-DD35BD8C5AC1}"/>
            </a:ext>
          </a:extLst>
        </cdr:cNvPr>
        <cdr:cNvSpPr txBox="1"/>
      </cdr:nvSpPr>
      <cdr:spPr>
        <a:xfrm xmlns:a="http://schemas.openxmlformats.org/drawingml/2006/main">
          <a:off x="1264258" y="838866"/>
          <a:ext cx="699715" cy="246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>
              <a:solidFill>
                <a:srgbClr val="FF0000"/>
              </a:solidFill>
            </a:rPr>
            <a:t>15% Profit</a:t>
          </a:r>
        </a:p>
      </cdr:txBody>
    </cdr:sp>
  </cdr:relSizeAnchor>
  <cdr:relSizeAnchor xmlns:cdr="http://schemas.openxmlformats.org/drawingml/2006/chartDrawing">
    <cdr:from>
      <cdr:x>0.48947</cdr:x>
      <cdr:y>0.18895</cdr:y>
    </cdr:from>
    <cdr:to>
      <cdr:x>0.57677</cdr:x>
      <cdr:y>0.24154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6B86FFC0-E216-4876-8DF6-0028D4290142}"/>
            </a:ext>
          </a:extLst>
        </cdr:cNvPr>
        <cdr:cNvSpPr txBox="1"/>
      </cdr:nvSpPr>
      <cdr:spPr>
        <a:xfrm xmlns:a="http://schemas.openxmlformats.org/drawingml/2006/main">
          <a:off x="3923085" y="885687"/>
          <a:ext cx="699715" cy="246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rgbClr val="FF0000"/>
              </a:solidFill>
            </a:rPr>
            <a:t>20% Profit</a:t>
          </a:r>
        </a:p>
      </cdr:txBody>
    </cdr:sp>
  </cdr:relSizeAnchor>
  <cdr:relSizeAnchor xmlns:cdr="http://schemas.openxmlformats.org/drawingml/2006/chartDrawing">
    <cdr:from>
      <cdr:x>0.81983</cdr:x>
      <cdr:y>0.25172</cdr:y>
    </cdr:from>
    <cdr:to>
      <cdr:x>0.90713</cdr:x>
      <cdr:y>0.30431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6B86FFC0-E216-4876-8DF6-0028D4290142}"/>
            </a:ext>
          </a:extLst>
        </cdr:cNvPr>
        <cdr:cNvSpPr txBox="1"/>
      </cdr:nvSpPr>
      <cdr:spPr>
        <a:xfrm xmlns:a="http://schemas.openxmlformats.org/drawingml/2006/main">
          <a:off x="6570870" y="1179885"/>
          <a:ext cx="699715" cy="246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rgbClr val="FF0000"/>
              </a:solidFill>
            </a:rPr>
            <a:t>30% Profit</a:t>
          </a:r>
        </a:p>
      </cdr:txBody>
    </cdr:sp>
  </cdr:relSizeAnchor>
  <cdr:relSizeAnchor xmlns:cdr="http://schemas.openxmlformats.org/drawingml/2006/chartDrawing">
    <cdr:from>
      <cdr:x>0.09265</cdr:x>
      <cdr:y>0.24493</cdr:y>
    </cdr:from>
    <cdr:to>
      <cdr:x>0.29342</cdr:x>
      <cdr:y>0.29307</cdr:y>
    </cdr:to>
    <cdr:sp macro="" textlink="">
      <cdr:nvSpPr>
        <cdr:cNvPr id="9" name="Left Brace 8">
          <a:extLst xmlns:a="http://schemas.openxmlformats.org/drawingml/2006/main">
            <a:ext uri="{FF2B5EF4-FFF2-40B4-BE49-F238E27FC236}">
              <a16:creationId xmlns:a16="http://schemas.microsoft.com/office/drawing/2014/main" id="{5A3A987F-AAED-4E37-B02D-D9D36A883FB3}"/>
            </a:ext>
          </a:extLst>
        </cdr:cNvPr>
        <cdr:cNvSpPr/>
      </cdr:nvSpPr>
      <cdr:spPr>
        <a:xfrm xmlns:a="http://schemas.openxmlformats.org/drawingml/2006/main" rot="5400000">
          <a:off x="1434327" y="456318"/>
          <a:ext cx="225620" cy="1609145"/>
        </a:xfrm>
        <a:prstGeom xmlns:a="http://schemas.openxmlformats.org/drawingml/2006/main" prst="leftBrac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F8F77-F6E1-472C-BB3A-F03F487C7393}">
  <dimension ref="A1:AT44"/>
  <sheetViews>
    <sheetView tabSelected="1" zoomScale="67" zoomScaleNormal="67" workbookViewId="0">
      <selection activeCell="G13" sqref="G13"/>
    </sheetView>
  </sheetViews>
  <sheetFormatPr defaultRowHeight="15.05" x14ac:dyDescent="0.3"/>
  <cols>
    <col min="1" max="1" width="8.88671875" customWidth="1"/>
    <col min="2" max="2" width="61.44140625" customWidth="1"/>
    <col min="3" max="3" width="35.5546875" customWidth="1"/>
    <col min="4" max="4" width="15" customWidth="1"/>
    <col min="7" max="7" width="21.33203125" customWidth="1"/>
    <col min="30" max="30" width="18.44140625" customWidth="1"/>
  </cols>
  <sheetData>
    <row r="1" spans="1:46" x14ac:dyDescent="0.3">
      <c r="A1" s="14"/>
      <c r="B1" s="15" t="s">
        <v>0</v>
      </c>
      <c r="C1" s="19" t="s">
        <v>142</v>
      </c>
      <c r="D1" s="14"/>
      <c r="E1" s="14"/>
      <c r="F1" s="14"/>
      <c r="G1" s="1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4" t="s">
        <v>8</v>
      </c>
      <c r="AB1" s="14" t="s">
        <v>9</v>
      </c>
      <c r="AC1" s="14" t="s">
        <v>23</v>
      </c>
      <c r="AD1" s="14" t="s">
        <v>25</v>
      </c>
      <c r="AE1" s="27">
        <v>0.06</v>
      </c>
      <c r="AF1" s="28">
        <v>0.05</v>
      </c>
      <c r="AG1" s="14">
        <v>1</v>
      </c>
      <c r="AH1" s="14"/>
      <c r="AI1" s="14"/>
      <c r="AJ1" s="14" t="s">
        <v>94</v>
      </c>
      <c r="AK1" s="14"/>
      <c r="AL1" s="14"/>
      <c r="AM1" s="19" t="s">
        <v>91</v>
      </c>
      <c r="AN1" s="19" t="s">
        <v>92</v>
      </c>
      <c r="AO1" s="19" t="s">
        <v>93</v>
      </c>
      <c r="AP1" s="14"/>
      <c r="AQ1" s="29" t="s">
        <v>108</v>
      </c>
      <c r="AR1" s="14"/>
      <c r="AS1" s="27">
        <v>0.1</v>
      </c>
      <c r="AT1" s="14"/>
    </row>
    <row r="2" spans="1:46" x14ac:dyDescent="0.3">
      <c r="A2" s="16" t="s">
        <v>90</v>
      </c>
      <c r="B2" s="17" t="s">
        <v>31</v>
      </c>
      <c r="C2" s="17" t="s">
        <v>7</v>
      </c>
      <c r="D2" s="14"/>
      <c r="E2" s="14"/>
      <c r="F2" s="14"/>
      <c r="G2" s="1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4">
        <v>1</v>
      </c>
      <c r="AB2" s="14" t="s">
        <v>10</v>
      </c>
      <c r="AC2" s="14" t="s">
        <v>24</v>
      </c>
      <c r="AD2" s="14" t="s">
        <v>26</v>
      </c>
      <c r="AE2" s="27">
        <v>0.08</v>
      </c>
      <c r="AF2" s="28">
        <f>AF1+0.005</f>
        <v>5.5E-2</v>
      </c>
      <c r="AG2" s="14">
        <f>AG1+0.25</f>
        <v>1.25</v>
      </c>
      <c r="AH2" s="14"/>
      <c r="AI2" s="14"/>
      <c r="AJ2" s="14"/>
      <c r="AK2" s="14"/>
      <c r="AL2" s="14"/>
      <c r="AM2" s="19">
        <v>1</v>
      </c>
      <c r="AN2" s="19">
        <v>5</v>
      </c>
      <c r="AO2" s="19">
        <v>6</v>
      </c>
      <c r="AP2" s="14"/>
      <c r="AQ2" s="14"/>
      <c r="AR2" s="14"/>
      <c r="AS2" s="14"/>
      <c r="AT2" s="14"/>
    </row>
    <row r="3" spans="1:46" x14ac:dyDescent="0.3">
      <c r="A3" s="16" t="s">
        <v>90</v>
      </c>
      <c r="B3" s="17" t="s">
        <v>1</v>
      </c>
      <c r="C3" s="3"/>
      <c r="D3" s="14"/>
      <c r="E3" s="14"/>
      <c r="F3" s="14"/>
      <c r="G3" s="1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4">
        <v>2</v>
      </c>
      <c r="AB3" s="14"/>
      <c r="AC3" s="14"/>
      <c r="AD3" s="14" t="s">
        <v>27</v>
      </c>
      <c r="AE3" s="27">
        <v>0.1</v>
      </c>
      <c r="AF3" s="28">
        <f t="shared" ref="AF3:AF14" si="0">AF2+0.005</f>
        <v>0.06</v>
      </c>
      <c r="AG3" s="14">
        <f t="shared" ref="AG3:AG4" si="1">AG2+0.25</f>
        <v>1.5</v>
      </c>
      <c r="AH3" s="14"/>
      <c r="AI3" s="14"/>
      <c r="AJ3" s="14"/>
      <c r="AK3" s="14"/>
      <c r="AL3" s="14"/>
      <c r="AM3" s="19">
        <v>2</v>
      </c>
      <c r="AN3" s="19">
        <v>7</v>
      </c>
      <c r="AO3" s="19">
        <v>8</v>
      </c>
      <c r="AP3" s="51" t="s">
        <v>113</v>
      </c>
      <c r="AQ3" s="52"/>
      <c r="AR3" s="52"/>
      <c r="AS3" s="30">
        <v>300</v>
      </c>
      <c r="AT3" s="14"/>
    </row>
    <row r="4" spans="1:46" x14ac:dyDescent="0.3">
      <c r="A4" s="14"/>
      <c r="B4" s="17" t="s">
        <v>2</v>
      </c>
      <c r="C4" s="20"/>
      <c r="D4" s="14"/>
      <c r="E4" s="14"/>
      <c r="F4" s="14"/>
      <c r="G4" s="1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4">
        <v>3</v>
      </c>
      <c r="AB4" s="14"/>
      <c r="AC4" s="14"/>
      <c r="AD4" s="14"/>
      <c r="AE4" s="14"/>
      <c r="AF4" s="28">
        <f t="shared" si="0"/>
        <v>6.5000000000000002E-2</v>
      </c>
      <c r="AG4" s="14">
        <f t="shared" si="1"/>
        <v>1.75</v>
      </c>
      <c r="AH4" s="14"/>
      <c r="AI4" s="14"/>
      <c r="AJ4" s="14"/>
      <c r="AK4" s="14"/>
      <c r="AL4" s="14"/>
      <c r="AM4" s="19">
        <v>3</v>
      </c>
      <c r="AN4" s="19">
        <v>9</v>
      </c>
      <c r="AO4" s="19">
        <v>10</v>
      </c>
      <c r="AP4" s="14"/>
      <c r="AQ4" s="14"/>
      <c r="AR4" s="14"/>
      <c r="AS4" s="14"/>
      <c r="AT4" s="14"/>
    </row>
    <row r="5" spans="1:46" x14ac:dyDescent="0.3">
      <c r="A5" s="16" t="s">
        <v>90</v>
      </c>
      <c r="B5" s="17" t="s">
        <v>3</v>
      </c>
      <c r="C5" s="4"/>
      <c r="D5" s="14"/>
      <c r="E5" s="14"/>
      <c r="F5" s="14"/>
      <c r="G5" s="1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4"/>
      <c r="AB5" s="14"/>
      <c r="AC5" s="14"/>
      <c r="AD5" s="14"/>
      <c r="AE5" s="14"/>
      <c r="AF5" s="28">
        <f t="shared" si="0"/>
        <v>7.0000000000000007E-2</v>
      </c>
      <c r="AG5" s="14">
        <f>AG4+0.25</f>
        <v>2</v>
      </c>
      <c r="AH5" s="14"/>
      <c r="AI5" s="14"/>
      <c r="AJ5" s="14"/>
      <c r="AK5" s="14"/>
      <c r="AL5" s="14"/>
      <c r="AM5" s="14"/>
      <c r="AN5" s="14"/>
      <c r="AO5" s="14"/>
      <c r="AP5" s="52" t="s">
        <v>118</v>
      </c>
      <c r="AQ5" s="52"/>
      <c r="AR5" s="52"/>
      <c r="AS5" s="31">
        <v>0.15</v>
      </c>
      <c r="AT5" s="14"/>
    </row>
    <row r="6" spans="1:46" x14ac:dyDescent="0.3">
      <c r="A6" s="16" t="s">
        <v>90</v>
      </c>
      <c r="B6" s="17" t="s">
        <v>5</v>
      </c>
      <c r="C6" s="4"/>
      <c r="D6" s="14"/>
      <c r="E6" s="14"/>
      <c r="F6" s="14"/>
      <c r="G6" s="1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14"/>
      <c r="AB6" s="14"/>
      <c r="AC6" s="14"/>
      <c r="AD6" s="14"/>
      <c r="AE6" s="14"/>
      <c r="AF6" s="28">
        <f t="shared" si="0"/>
        <v>7.5000000000000011E-2</v>
      </c>
      <c r="AG6" s="14">
        <f>AG5+0.25</f>
        <v>2.25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31">
        <v>0.2</v>
      </c>
      <c r="AT6" s="14"/>
    </row>
    <row r="7" spans="1:46" x14ac:dyDescent="0.3">
      <c r="A7" s="16" t="s">
        <v>90</v>
      </c>
      <c r="B7" s="17" t="s">
        <v>4</v>
      </c>
      <c r="C7" s="4"/>
      <c r="D7" s="14"/>
      <c r="E7" s="14"/>
      <c r="F7" s="14"/>
      <c r="G7" s="1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4"/>
      <c r="AB7" s="14"/>
      <c r="AC7" s="14"/>
      <c r="AD7" s="14"/>
      <c r="AE7" s="14"/>
      <c r="AF7" s="28">
        <f t="shared" si="0"/>
        <v>8.0000000000000016E-2</v>
      </c>
      <c r="AG7" s="14">
        <f t="shared" ref="AG7:AG8" si="2">AG6+0.25</f>
        <v>2.5</v>
      </c>
      <c r="AH7" s="14"/>
      <c r="AI7" s="14"/>
      <c r="AJ7" s="14"/>
      <c r="AK7" s="14"/>
      <c r="AL7" s="14" t="s">
        <v>95</v>
      </c>
      <c r="AM7" s="14"/>
      <c r="AN7" s="14"/>
      <c r="AO7" s="14">
        <f>C9</f>
        <v>0</v>
      </c>
      <c r="AP7" s="14"/>
      <c r="AQ7" s="14"/>
      <c r="AR7" s="14"/>
      <c r="AS7" s="31">
        <v>0.3</v>
      </c>
      <c r="AT7" s="14"/>
    </row>
    <row r="8" spans="1:46" x14ac:dyDescent="0.3">
      <c r="A8" s="16" t="s">
        <v>90</v>
      </c>
      <c r="B8" s="17" t="s">
        <v>6</v>
      </c>
      <c r="C8" s="4"/>
      <c r="D8" s="14"/>
      <c r="E8" s="14"/>
      <c r="F8" s="14"/>
      <c r="G8" s="1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4"/>
      <c r="AB8" s="14"/>
      <c r="AC8" s="14"/>
      <c r="AD8" s="14"/>
      <c r="AE8" s="14"/>
      <c r="AF8" s="28">
        <f>AF7+0.005</f>
        <v>8.500000000000002E-2</v>
      </c>
      <c r="AG8" s="14">
        <f t="shared" si="2"/>
        <v>2.75</v>
      </c>
      <c r="AH8" s="14"/>
      <c r="AI8" s="14"/>
      <c r="AJ8" s="14"/>
      <c r="AK8" s="14"/>
      <c r="AL8" s="50" t="s">
        <v>96</v>
      </c>
      <c r="AM8" s="50"/>
      <c r="AN8" s="50"/>
      <c r="AO8" s="14" t="str">
        <f>IF(C12&lt;3000,"&lt;3000","&gt;3000")</f>
        <v>&lt;3000</v>
      </c>
      <c r="AP8" s="52" t="s">
        <v>123</v>
      </c>
      <c r="AQ8" s="52"/>
      <c r="AR8" s="52"/>
      <c r="AS8" s="31">
        <v>0.05</v>
      </c>
      <c r="AT8" s="14"/>
    </row>
    <row r="9" spans="1:46" x14ac:dyDescent="0.3">
      <c r="A9" s="16" t="s">
        <v>90</v>
      </c>
      <c r="B9" s="18" t="s">
        <v>19</v>
      </c>
      <c r="C9" s="5"/>
      <c r="D9" s="14"/>
      <c r="E9" s="14"/>
      <c r="F9" s="14"/>
      <c r="G9" s="1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14"/>
      <c r="AB9" s="14"/>
      <c r="AC9" s="14"/>
      <c r="AD9" s="14"/>
      <c r="AE9" s="14"/>
      <c r="AF9" s="28">
        <f t="shared" si="0"/>
        <v>9.0000000000000024E-2</v>
      </c>
      <c r="AG9" s="14">
        <f>AG8+0.25</f>
        <v>3</v>
      </c>
      <c r="AH9" s="14"/>
      <c r="AI9" s="14"/>
      <c r="AJ9" s="14"/>
      <c r="AK9" s="14"/>
      <c r="AL9" s="50" t="s">
        <v>97</v>
      </c>
      <c r="AM9" s="50"/>
      <c r="AN9" s="50"/>
      <c r="AO9" s="14">
        <f>IF(AO8="&lt;3000",2,3)</f>
        <v>2</v>
      </c>
      <c r="AP9" s="14"/>
      <c r="AQ9" s="14"/>
      <c r="AR9" s="14"/>
      <c r="AS9" s="31">
        <v>0.1</v>
      </c>
      <c r="AT9" s="14"/>
    </row>
    <row r="10" spans="1:46" x14ac:dyDescent="0.3">
      <c r="A10" s="16"/>
      <c r="B10" s="17" t="s">
        <v>11</v>
      </c>
      <c r="C10" s="5"/>
      <c r="D10" s="14"/>
      <c r="E10" s="14"/>
      <c r="F10" s="14"/>
      <c r="G10" s="1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4"/>
      <c r="AB10" s="14"/>
      <c r="AC10" s="14"/>
      <c r="AD10" s="14"/>
      <c r="AE10" s="14"/>
      <c r="AF10" s="28">
        <f t="shared" si="0"/>
        <v>9.5000000000000029E-2</v>
      </c>
      <c r="AG10" s="14"/>
      <c r="AH10" s="14"/>
      <c r="AI10" s="14"/>
      <c r="AJ10" s="14"/>
      <c r="AK10" s="14"/>
      <c r="AL10" s="50" t="s">
        <v>98</v>
      </c>
      <c r="AM10" s="50"/>
      <c r="AN10" s="50"/>
      <c r="AO10" s="14" t="e">
        <f>VLOOKUP(AO7,AM1:AO4,AO9,FALSE)</f>
        <v>#N/A</v>
      </c>
      <c r="AP10" s="14"/>
      <c r="AQ10" s="14"/>
      <c r="AR10" s="14"/>
      <c r="AS10" s="31">
        <v>0.15</v>
      </c>
      <c r="AT10" s="14"/>
    </row>
    <row r="11" spans="1:46" x14ac:dyDescent="0.3">
      <c r="A11" s="16"/>
      <c r="B11" s="17"/>
      <c r="C11" s="21"/>
      <c r="D11" s="14"/>
      <c r="E11" s="14"/>
      <c r="F11" s="14"/>
      <c r="G11" s="1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14"/>
      <c r="AB11" s="14"/>
      <c r="AC11" s="14"/>
      <c r="AD11" s="14"/>
      <c r="AE11" s="14"/>
      <c r="AF11" s="28">
        <f t="shared" si="0"/>
        <v>0.10000000000000003</v>
      </c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1:46" x14ac:dyDescent="0.3">
      <c r="A12" s="16" t="s">
        <v>90</v>
      </c>
      <c r="B12" s="17" t="s">
        <v>12</v>
      </c>
      <c r="C12" s="5"/>
      <c r="D12" s="14"/>
      <c r="E12" s="14"/>
      <c r="F12" s="14"/>
      <c r="G12" s="1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4"/>
      <c r="AB12" s="14"/>
      <c r="AC12" s="14"/>
      <c r="AD12" s="14"/>
      <c r="AE12" s="14"/>
      <c r="AF12" s="28">
        <f t="shared" si="0"/>
        <v>0.10500000000000004</v>
      </c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spans="1:46" x14ac:dyDescent="0.3">
      <c r="A13" s="16" t="s">
        <v>90</v>
      </c>
      <c r="B13" s="17" t="s">
        <v>13</v>
      </c>
      <c r="C13" s="5"/>
      <c r="D13" s="14"/>
      <c r="E13" s="14"/>
      <c r="F13" s="14"/>
      <c r="G13" s="1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14"/>
      <c r="AB13" s="14"/>
      <c r="AC13" s="14"/>
      <c r="AD13" s="14"/>
      <c r="AE13" s="14"/>
      <c r="AF13" s="28">
        <f>AF12+0.005</f>
        <v>0.11000000000000004</v>
      </c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1:46" x14ac:dyDescent="0.3">
      <c r="A14" s="16" t="s">
        <v>90</v>
      </c>
      <c r="B14" s="17" t="s">
        <v>14</v>
      </c>
      <c r="C14" s="5"/>
      <c r="D14" s="14"/>
      <c r="E14" s="14"/>
      <c r="F14" s="14"/>
      <c r="G14" s="1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14"/>
      <c r="AB14" s="14"/>
      <c r="AC14" s="14"/>
      <c r="AD14" s="14"/>
      <c r="AE14" s="14"/>
      <c r="AF14" s="28">
        <f t="shared" si="0"/>
        <v>0.11500000000000005</v>
      </c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1:46" x14ac:dyDescent="0.3">
      <c r="A15" s="16" t="s">
        <v>90</v>
      </c>
      <c r="B15" s="17" t="s">
        <v>15</v>
      </c>
      <c r="C15" s="5"/>
      <c r="D15" s="14"/>
      <c r="E15" s="14"/>
      <c r="F15" s="14"/>
      <c r="G15" s="1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4"/>
      <c r="AB15" s="14"/>
      <c r="AC15" s="14"/>
      <c r="AD15" s="14"/>
      <c r="AE15" s="14"/>
      <c r="AF15" s="28">
        <f>AF14+0.005</f>
        <v>0.12000000000000005</v>
      </c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46" x14ac:dyDescent="0.3">
      <c r="A16" s="16" t="s">
        <v>90</v>
      </c>
      <c r="B16" s="17" t="s">
        <v>16</v>
      </c>
      <c r="C16" s="5"/>
      <c r="D16" s="14"/>
      <c r="E16" s="14"/>
      <c r="F16" s="14"/>
      <c r="G16" s="1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14"/>
      <c r="AB16" s="14"/>
      <c r="AC16" s="14"/>
      <c r="AD16" s="14"/>
      <c r="AE16" s="14"/>
      <c r="AF16" s="28">
        <f>AF15+0.005</f>
        <v>0.12500000000000006</v>
      </c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</row>
    <row r="17" spans="1:46" x14ac:dyDescent="0.3">
      <c r="A17" s="16" t="s">
        <v>90</v>
      </c>
      <c r="B17" s="17" t="s">
        <v>17</v>
      </c>
      <c r="C17" s="5"/>
      <c r="D17" s="14"/>
      <c r="E17" s="14"/>
      <c r="F17" s="14"/>
      <c r="G17" s="1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x14ac:dyDescent="0.3">
      <c r="A18" s="16" t="s">
        <v>90</v>
      </c>
      <c r="B18" s="18" t="s">
        <v>18</v>
      </c>
      <c r="C18" s="5"/>
      <c r="D18" s="14"/>
      <c r="E18" s="14"/>
      <c r="F18" s="14"/>
      <c r="G18" s="1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x14ac:dyDescent="0.3">
      <c r="A19" s="16" t="s">
        <v>90</v>
      </c>
      <c r="B19" s="17" t="s">
        <v>20</v>
      </c>
      <c r="C19" s="5"/>
      <c r="D19" s="14"/>
      <c r="E19" s="14"/>
      <c r="F19" s="14"/>
      <c r="G19" s="1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x14ac:dyDescent="0.3">
      <c r="A20" s="16" t="s">
        <v>90</v>
      </c>
      <c r="B20" s="17" t="s">
        <v>21</v>
      </c>
      <c r="C20" s="5"/>
      <c r="D20" s="14"/>
      <c r="E20" s="14"/>
      <c r="F20" s="14"/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x14ac:dyDescent="0.3">
      <c r="A21" s="16" t="s">
        <v>90</v>
      </c>
      <c r="B21" s="17" t="s">
        <v>22</v>
      </c>
      <c r="C21" s="5"/>
      <c r="D21" s="14"/>
      <c r="E21" s="14"/>
      <c r="F21" s="14"/>
      <c r="G21" s="1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x14ac:dyDescent="0.3">
      <c r="A22" s="16" t="s">
        <v>90</v>
      </c>
      <c r="B22" s="17" t="s">
        <v>28</v>
      </c>
      <c r="C22" s="5"/>
      <c r="D22" s="14"/>
      <c r="E22" s="14"/>
      <c r="F22" s="14"/>
      <c r="G22" s="1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x14ac:dyDescent="0.3">
      <c r="A23" s="16" t="s">
        <v>90</v>
      </c>
      <c r="B23" s="17" t="s">
        <v>29</v>
      </c>
      <c r="C23" s="5"/>
      <c r="D23" s="55" t="s">
        <v>78</v>
      </c>
      <c r="E23" s="56"/>
      <c r="F23" s="56"/>
      <c r="G23" s="57"/>
      <c r="H23" s="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x14ac:dyDescent="0.3">
      <c r="A24" s="16" t="s">
        <v>90</v>
      </c>
      <c r="B24" s="17" t="s">
        <v>30</v>
      </c>
      <c r="C24" s="7"/>
      <c r="D24" s="14"/>
      <c r="E24" s="14"/>
      <c r="F24" s="14"/>
      <c r="G24" s="1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x14ac:dyDescent="0.3">
      <c r="A25" s="16"/>
      <c r="B25" s="17"/>
      <c r="C25" s="22"/>
      <c r="D25" s="14"/>
      <c r="E25" s="14"/>
      <c r="F25" s="14"/>
      <c r="G25" s="1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x14ac:dyDescent="0.3">
      <c r="A26" s="16"/>
      <c r="B26" s="17" t="s">
        <v>47</v>
      </c>
      <c r="C26" s="23"/>
      <c r="D26" s="14"/>
      <c r="E26" s="14"/>
      <c r="F26" s="14"/>
      <c r="G26" s="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x14ac:dyDescent="0.3">
      <c r="A27" s="16"/>
      <c r="B27" s="17"/>
      <c r="C27" s="24" t="s">
        <v>141</v>
      </c>
      <c r="D27" s="53" t="s">
        <v>89</v>
      </c>
      <c r="E27" s="53"/>
      <c r="F27" s="53"/>
      <c r="G27" s="53"/>
      <c r="H27" s="1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x14ac:dyDescent="0.3">
      <c r="A28" s="16"/>
      <c r="B28" s="17" t="s">
        <v>32</v>
      </c>
      <c r="C28" s="8"/>
      <c r="D28" s="53" t="s">
        <v>34</v>
      </c>
      <c r="E28" s="53"/>
      <c r="F28" s="53"/>
      <c r="G28" s="53"/>
      <c r="H28" s="25">
        <v>33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x14ac:dyDescent="0.3">
      <c r="A29" s="16"/>
      <c r="B29" s="17" t="s">
        <v>33</v>
      </c>
      <c r="C29" s="8"/>
      <c r="D29" s="53" t="s">
        <v>35</v>
      </c>
      <c r="E29" s="53"/>
      <c r="F29" s="53"/>
      <c r="G29" s="53"/>
      <c r="H29" s="25">
        <v>3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x14ac:dyDescent="0.3">
      <c r="A30" s="16"/>
      <c r="B30" s="17" t="s">
        <v>36</v>
      </c>
      <c r="C30" s="8"/>
      <c r="D30" s="53" t="s">
        <v>37</v>
      </c>
      <c r="E30" s="53"/>
      <c r="F30" s="53"/>
      <c r="G30" s="53"/>
      <c r="H30" s="25">
        <v>88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x14ac:dyDescent="0.3">
      <c r="A31" s="16"/>
      <c r="B31" s="17" t="s">
        <v>38</v>
      </c>
      <c r="C31" s="8"/>
      <c r="D31" s="53" t="s">
        <v>41</v>
      </c>
      <c r="E31" s="53"/>
      <c r="F31" s="53"/>
      <c r="G31" s="53"/>
      <c r="H31" s="25">
        <v>80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x14ac:dyDescent="0.3">
      <c r="A32" s="16"/>
      <c r="B32" s="17" t="s">
        <v>39</v>
      </c>
      <c r="C32" s="8"/>
      <c r="D32" s="53" t="s">
        <v>40</v>
      </c>
      <c r="E32" s="53"/>
      <c r="F32" s="53"/>
      <c r="G32" s="53"/>
      <c r="H32" s="25">
        <v>60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x14ac:dyDescent="0.3">
      <c r="A33" s="16"/>
      <c r="B33" s="17" t="s">
        <v>42</v>
      </c>
      <c r="C33" s="8"/>
      <c r="D33" s="53" t="s">
        <v>43</v>
      </c>
      <c r="E33" s="53"/>
      <c r="F33" s="53"/>
      <c r="G33" s="53"/>
      <c r="H33" s="25">
        <v>30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x14ac:dyDescent="0.3">
      <c r="A34" s="16"/>
      <c r="B34" s="17" t="s">
        <v>46</v>
      </c>
      <c r="C34" s="8"/>
      <c r="D34" s="53" t="s">
        <v>44</v>
      </c>
      <c r="E34" s="53"/>
      <c r="F34" s="53"/>
      <c r="G34" s="53"/>
      <c r="H34" s="25">
        <v>48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x14ac:dyDescent="0.3">
      <c r="A35" s="16"/>
      <c r="B35" s="17" t="s">
        <v>73</v>
      </c>
      <c r="C35" s="8"/>
      <c r="D35" s="53" t="s">
        <v>45</v>
      </c>
      <c r="E35" s="53"/>
      <c r="F35" s="53"/>
      <c r="G35" s="53"/>
      <c r="H35" s="25">
        <v>10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x14ac:dyDescent="0.3">
      <c r="A36" s="16"/>
      <c r="B36" s="17" t="s">
        <v>76</v>
      </c>
      <c r="C36" s="8"/>
      <c r="D36" s="53" t="s">
        <v>45</v>
      </c>
      <c r="E36" s="53"/>
      <c r="F36" s="53"/>
      <c r="G36" s="53"/>
      <c r="H36" s="25">
        <v>10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x14ac:dyDescent="0.3">
      <c r="A37" s="16"/>
      <c r="B37" s="17" t="s">
        <v>80</v>
      </c>
      <c r="C37" s="8"/>
      <c r="D37" s="53" t="s">
        <v>81</v>
      </c>
      <c r="E37" s="53"/>
      <c r="F37" s="53"/>
      <c r="G37" s="53"/>
      <c r="H37" s="25">
        <v>20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x14ac:dyDescent="0.3">
      <c r="A38" s="16"/>
      <c r="B38" s="17" t="s">
        <v>48</v>
      </c>
      <c r="C38" s="9"/>
      <c r="D38" s="53" t="s">
        <v>49</v>
      </c>
      <c r="E38" s="53"/>
      <c r="F38" s="53"/>
      <c r="G38" s="53"/>
      <c r="H38" s="26">
        <v>8.5000000000000006E-2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x14ac:dyDescent="0.3">
      <c r="A39" s="16"/>
      <c r="B39" s="17" t="s">
        <v>50</v>
      </c>
      <c r="C39" s="10"/>
      <c r="D39" s="53" t="s">
        <v>58</v>
      </c>
      <c r="E39" s="53"/>
      <c r="F39" s="53"/>
      <c r="G39" s="53"/>
      <c r="H39" s="21">
        <v>1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x14ac:dyDescent="0.3">
      <c r="A40" s="16"/>
      <c r="B40" s="17" t="s">
        <v>51</v>
      </c>
      <c r="C40" s="11"/>
      <c r="D40" s="53" t="s">
        <v>52</v>
      </c>
      <c r="E40" s="53"/>
      <c r="F40" s="53"/>
      <c r="G40" s="53"/>
      <c r="H40" s="25">
        <v>200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ht="30.7" customHeight="1" x14ac:dyDescent="0.3">
      <c r="A41" s="16"/>
      <c r="B41" s="17" t="s">
        <v>54</v>
      </c>
      <c r="C41" s="12"/>
      <c r="D41" s="54" t="s">
        <v>53</v>
      </c>
      <c r="E41" s="54"/>
      <c r="F41" s="54"/>
      <c r="G41" s="54"/>
      <c r="H41" s="21" t="s">
        <v>55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x14ac:dyDescent="0.3">
      <c r="A42" s="16"/>
      <c r="B42" s="17" t="s">
        <v>56</v>
      </c>
      <c r="C42" s="13"/>
      <c r="D42" s="54" t="s">
        <v>57</v>
      </c>
      <c r="E42" s="54"/>
      <c r="F42" s="54"/>
      <c r="G42" s="54"/>
      <c r="H42" s="25">
        <v>20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x14ac:dyDescent="0.3">
      <c r="A43" s="16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x14ac:dyDescent="0.3">
      <c r="A44" s="1"/>
    </row>
  </sheetData>
  <sheetProtection algorithmName="SHA-512" hashValue="R67uCbXMZ1aWf7EMWCLjLAM6Kbx7+j08VrixNX5z6uzqv+jnFs+aqYCivVf8uCfxPHoM3KgND9gGuKqrnZ9UbA==" saltValue="Drsvt/R9JpCdpx+iULpAbg==" spinCount="100000" sheet="1" objects="1" scenarios="1"/>
  <protectedRanges>
    <protectedRange algorithmName="SHA-512" hashValue="GtynPGGjI9yU7GYGxuhqHe5K3Hod0PUocZnV6aw1Vk2RUsenBJUG9XXJTBEYqAsQh5sgxQ17dbG9uzsk9FwBvA==" saltValue="FIinueBu3broObmVTwp+QA==" spinCount="100000" sqref="A1:B42" name="Range1"/>
    <protectedRange algorithmName="SHA-512" hashValue="eEXB7q3dQFDCkcLOxJalPxvzvZsmrAgOjNgbGXqljehWe7VqfA2fL2VFc9lvcGHVxTZJ4p/PGAJHMDxscw6Dhg==" saltValue="DZ9wfKs7m+AImTWSgTk5kw==" spinCount="100000" sqref="D27:H42" name="Range2"/>
    <protectedRange algorithmName="SHA-512" hashValue="xmGg4SvF+A/gn5vOluPqgGXrqq8L8cxNBFb/ILmPys+jygo9CCUmZ56meNA/gVzWtvhA6V20wbJgLX2m5kjB7Q==" saltValue="9ORivPfC8DJBFTMmlHHcVw==" spinCount="100000" sqref="D23" name="Range3"/>
  </protectedRanges>
  <mergeCells count="23">
    <mergeCell ref="D23:G23"/>
    <mergeCell ref="D37:G37"/>
    <mergeCell ref="D31:G31"/>
    <mergeCell ref="D32:G32"/>
    <mergeCell ref="D33:G33"/>
    <mergeCell ref="D34:G34"/>
    <mergeCell ref="D35:G35"/>
    <mergeCell ref="D27:G27"/>
    <mergeCell ref="D28:G28"/>
    <mergeCell ref="D29:G29"/>
    <mergeCell ref="D30:G30"/>
    <mergeCell ref="D39:G39"/>
    <mergeCell ref="D40:G40"/>
    <mergeCell ref="D41:G41"/>
    <mergeCell ref="D42:G42"/>
    <mergeCell ref="D36:G36"/>
    <mergeCell ref="D38:G38"/>
    <mergeCell ref="AL9:AN9"/>
    <mergeCell ref="AL8:AN8"/>
    <mergeCell ref="AL10:AN10"/>
    <mergeCell ref="AP3:AR3"/>
    <mergeCell ref="AP5:AR5"/>
    <mergeCell ref="AP8:AR8"/>
  </mergeCells>
  <dataValidations count="7">
    <dataValidation type="list" errorStyle="warning" allowBlank="1" showInputMessage="1" showErrorMessage="1" promptTitle="Select number stories" sqref="C9" xr:uid="{05A99AFB-E43A-4684-84A6-52884C8832AB}">
      <formula1>$AA$1:$AA$4</formula1>
    </dataValidation>
    <dataValidation type="list" allowBlank="1" showInputMessage="1" showErrorMessage="1" sqref="C10 C18 C20 C23" xr:uid="{0F5AEAAA-F5D0-4686-B7BB-6068A5FFFEE3}">
      <formula1>$AB$1:$AB$2</formula1>
    </dataValidation>
    <dataValidation type="list" allowBlank="1" showInputMessage="1" showErrorMessage="1" sqref="C21" xr:uid="{67FAF735-460D-4FE8-B10E-7D5B544CBBD9}">
      <formula1>$AC$1:$AC$2</formula1>
    </dataValidation>
    <dataValidation type="list" allowBlank="1" showInputMessage="1" showErrorMessage="1" sqref="C22" xr:uid="{02B9839D-666D-4A05-B2A5-2F2F7A61A8CA}">
      <formula1>$AD$1:$AD$3</formula1>
    </dataValidation>
    <dataValidation type="list" allowBlank="1" showInputMessage="1" showErrorMessage="1" sqref="C24" xr:uid="{A1C89FDB-7AE9-490B-9E50-0BD9A64EC692}">
      <formula1>$AE$1:$AE$3</formula1>
    </dataValidation>
    <dataValidation type="list" allowBlank="1" showInputMessage="1" showErrorMessage="1" sqref="C38" xr:uid="{940FBAD8-411B-406C-A580-D1648D9C938C}">
      <formula1>$AF$1:$AF$16</formula1>
    </dataValidation>
    <dataValidation type="list" allowBlank="1" showInputMessage="1" showErrorMessage="1" sqref="C39" xr:uid="{FA2C70FF-E1C5-4A09-BC92-5778E2B515FE}">
      <formula1>$AG$1:$AG$9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82CF3-6796-4F2F-9D9B-63C32D928FB2}">
  <dimension ref="B1:H23"/>
  <sheetViews>
    <sheetView workbookViewId="0">
      <selection activeCell="B17" sqref="B17"/>
    </sheetView>
  </sheetViews>
  <sheetFormatPr defaultRowHeight="15.05" x14ac:dyDescent="0.3"/>
  <cols>
    <col min="2" max="2" width="44.6640625" customWidth="1"/>
    <col min="3" max="3" width="19.6640625" customWidth="1"/>
    <col min="4" max="4" width="11.77734375" customWidth="1"/>
    <col min="5" max="5" width="16.44140625" customWidth="1"/>
  </cols>
  <sheetData>
    <row r="1" spans="2:8" x14ac:dyDescent="0.3">
      <c r="B1" s="14"/>
      <c r="C1" s="14"/>
      <c r="D1" s="14"/>
      <c r="E1" s="14"/>
      <c r="F1" s="14"/>
      <c r="G1" s="14"/>
      <c r="H1" s="14"/>
    </row>
    <row r="2" spans="2:8" x14ac:dyDescent="0.3">
      <c r="B2" s="17" t="s">
        <v>59</v>
      </c>
      <c r="C2" s="17"/>
      <c r="D2" s="17"/>
      <c r="E2" s="17"/>
      <c r="F2" s="14"/>
      <c r="G2" s="14"/>
      <c r="H2" s="14"/>
    </row>
    <row r="3" spans="2:8" x14ac:dyDescent="0.3">
      <c r="B3" s="32" t="s">
        <v>60</v>
      </c>
      <c r="C3" s="33">
        <f>(Input!C12*(1+Input!C24))/100</f>
        <v>0</v>
      </c>
      <c r="D3" s="33"/>
      <c r="E3" s="17"/>
      <c r="F3" s="14"/>
      <c r="G3" s="14"/>
      <c r="H3" s="14"/>
    </row>
    <row r="4" spans="2:8" x14ac:dyDescent="0.3">
      <c r="B4" s="17"/>
      <c r="C4" s="17"/>
      <c r="D4" s="17"/>
      <c r="E4" s="17"/>
      <c r="F4" s="14"/>
      <c r="G4" s="14"/>
      <c r="H4" s="14"/>
    </row>
    <row r="5" spans="2:8" x14ac:dyDescent="0.3">
      <c r="B5" s="17"/>
      <c r="C5" s="21" t="s">
        <v>61</v>
      </c>
      <c r="D5" s="21"/>
      <c r="E5" s="21" t="s">
        <v>62</v>
      </c>
      <c r="F5" s="14"/>
      <c r="G5" s="14"/>
      <c r="H5" s="14"/>
    </row>
    <row r="6" spans="2:8" x14ac:dyDescent="0.3">
      <c r="B6" s="17" t="s">
        <v>63</v>
      </c>
      <c r="C6" s="33">
        <f>Input!C12*(1+Input!C24)</f>
        <v>0</v>
      </c>
      <c r="D6" s="33" t="s">
        <v>71</v>
      </c>
      <c r="E6" s="37">
        <f>IF(Input!C28&gt;0,' Cost Material'!C6*Input!C28/33,' Cost Material'!C6*Input!H28/33)</f>
        <v>0</v>
      </c>
      <c r="F6" s="14"/>
      <c r="G6" s="14"/>
      <c r="H6" s="14"/>
    </row>
    <row r="7" spans="2:8" x14ac:dyDescent="0.3">
      <c r="B7" s="17" t="s">
        <v>64</v>
      </c>
      <c r="C7" s="33">
        <f>(Input!C13+Input!C14)*(1+Input!C24)</f>
        <v>0</v>
      </c>
      <c r="D7" s="33" t="s">
        <v>72</v>
      </c>
      <c r="E7" s="37">
        <f>IF(Input!C29&gt;0,C7*Input!C29/10,C7*Input!H29/10)</f>
        <v>0</v>
      </c>
      <c r="F7" s="14"/>
      <c r="G7" s="14"/>
      <c r="H7" s="14"/>
    </row>
    <row r="8" spans="2:8" x14ac:dyDescent="0.3">
      <c r="B8" s="17" t="s">
        <v>65</v>
      </c>
      <c r="C8" s="33">
        <f>IF(Input!C22="Valley Only",(1+Input!C24)*Input!C17,IF(Input!C22="Entire Roof",(1+Input!C24)*(Input!C12)/3,(1+Input!C24)*(Input!C17+Input!C14+Input!C13)))</f>
        <v>0</v>
      </c>
      <c r="D8" s="33" t="s">
        <v>72</v>
      </c>
      <c r="E8" s="37">
        <f>IF(Input!C30&gt;0,C8*Input!C30/66,C8*Input!H30/66)</f>
        <v>0</v>
      </c>
      <c r="F8" s="14"/>
      <c r="G8" s="14"/>
      <c r="H8" s="14"/>
    </row>
    <row r="9" spans="2:8" x14ac:dyDescent="0.3">
      <c r="B9" s="17" t="s">
        <v>66</v>
      </c>
      <c r="C9" s="33">
        <f>Input!C12*(1+Input!C24)</f>
        <v>0</v>
      </c>
      <c r="D9" s="33" t="s">
        <v>71</v>
      </c>
      <c r="E9" s="37">
        <f>IF(Input!C31&gt;0,C9*Input!C31/1000,C9*Input!H31/1000)</f>
        <v>0</v>
      </c>
      <c r="F9" s="14"/>
      <c r="G9" s="14"/>
      <c r="H9" s="14"/>
    </row>
    <row r="10" spans="2:8" x14ac:dyDescent="0.3">
      <c r="B10" s="17" t="s">
        <v>67</v>
      </c>
      <c r="C10" s="33">
        <f>Input!C16*(1+Input!C24)</f>
        <v>0</v>
      </c>
      <c r="D10" s="33" t="s">
        <v>72</v>
      </c>
      <c r="E10" s="37">
        <f>IF(Input!C32&gt;0,C10*Input!C32/25,C10*Input!H32/25)</f>
        <v>0</v>
      </c>
      <c r="F10" s="14"/>
      <c r="G10" s="14"/>
      <c r="H10" s="14"/>
    </row>
    <row r="11" spans="2:8" x14ac:dyDescent="0.3">
      <c r="B11" s="17" t="s">
        <v>75</v>
      </c>
      <c r="C11" s="33">
        <f>Input!C16*(1+Input!C24)</f>
        <v>0</v>
      </c>
      <c r="D11" s="33" t="s">
        <v>72</v>
      </c>
      <c r="E11" s="37">
        <f>IF(Input!C35&gt;0,C11*Input!C35/4,C1*Input!H35/4)</f>
        <v>0</v>
      </c>
      <c r="F11" s="14"/>
      <c r="G11" s="14"/>
      <c r="H11" s="14"/>
    </row>
    <row r="12" spans="2:8" x14ac:dyDescent="0.3">
      <c r="B12" s="17" t="s">
        <v>74</v>
      </c>
      <c r="C12" s="33">
        <f>Input!C15*(1+Input!C24)</f>
        <v>0</v>
      </c>
      <c r="D12" s="33" t="s">
        <v>72</v>
      </c>
      <c r="E12" s="37">
        <f>IF(Input!C36&gt;0,C12*Input!C36/4,C12*Input!H36/4)</f>
        <v>0</v>
      </c>
      <c r="F12" s="14"/>
      <c r="G12" s="14"/>
      <c r="H12" s="14"/>
    </row>
    <row r="13" spans="2:8" x14ac:dyDescent="0.3">
      <c r="B13" s="17" t="s">
        <v>42</v>
      </c>
      <c r="C13" s="33">
        <f>Input!C19</f>
        <v>0</v>
      </c>
      <c r="D13" s="33" t="s">
        <v>77</v>
      </c>
      <c r="E13" s="37">
        <f>IF(Input!C33&gt;0,C13*Input!C33,C13*Input!H33)</f>
        <v>0</v>
      </c>
      <c r="F13" s="14"/>
      <c r="G13" s="14"/>
      <c r="H13" s="14"/>
    </row>
    <row r="14" spans="2:8" x14ac:dyDescent="0.3">
      <c r="B14" s="17" t="s">
        <v>70</v>
      </c>
      <c r="C14" s="33">
        <f>Input!C13+Input!C14</f>
        <v>0</v>
      </c>
      <c r="D14" s="33" t="s">
        <v>72</v>
      </c>
      <c r="E14" s="37">
        <f>IF(Input!C34&gt;0,C14*Input!C34/120,C14*Input!H34/120)</f>
        <v>0</v>
      </c>
      <c r="F14" s="14"/>
      <c r="G14" s="14"/>
      <c r="H14" s="14"/>
    </row>
    <row r="15" spans="2:8" x14ac:dyDescent="0.3">
      <c r="B15" s="17" t="s">
        <v>68</v>
      </c>
      <c r="C15" s="33">
        <f>IF(Input!C23="No",0,Input!H23)</f>
        <v>0</v>
      </c>
      <c r="D15" s="33" t="s">
        <v>72</v>
      </c>
      <c r="E15" s="37">
        <f>IF(Input!C37&gt;0,C15*Input!C37/10,C15*Input!H37/10)</f>
        <v>0</v>
      </c>
      <c r="F15" s="14"/>
      <c r="G15" s="14"/>
      <c r="H15" s="14"/>
    </row>
    <row r="16" spans="2:8" x14ac:dyDescent="0.3">
      <c r="B16" s="17" t="s">
        <v>69</v>
      </c>
      <c r="C16" s="33" t="s">
        <v>79</v>
      </c>
      <c r="D16" s="33" t="s">
        <v>79</v>
      </c>
      <c r="E16" s="37">
        <f>Input!C40</f>
        <v>0</v>
      </c>
      <c r="F16" s="14"/>
      <c r="G16" s="14"/>
      <c r="H16" s="14"/>
    </row>
    <row r="17" spans="2:8" ht="28.2" customHeight="1" x14ac:dyDescent="0.3">
      <c r="B17" s="17" t="s">
        <v>82</v>
      </c>
      <c r="C17" s="21"/>
      <c r="D17" s="21"/>
      <c r="E17" s="5"/>
      <c r="F17" s="54" t="s">
        <v>88</v>
      </c>
      <c r="G17" s="54"/>
      <c r="H17" s="54"/>
    </row>
    <row r="18" spans="2:8" ht="30.05" x14ac:dyDescent="0.3">
      <c r="B18" s="18" t="s">
        <v>83</v>
      </c>
      <c r="C18" s="21"/>
      <c r="D18" s="21"/>
      <c r="E18" s="36">
        <f>SUM(E6:E17)</f>
        <v>0</v>
      </c>
      <c r="F18" s="14"/>
      <c r="G18" s="14"/>
      <c r="H18" s="14"/>
    </row>
    <row r="19" spans="2:8" x14ac:dyDescent="0.3">
      <c r="B19" s="17" t="s">
        <v>84</v>
      </c>
      <c r="C19" s="34">
        <f>Input!AS8</f>
        <v>0.05</v>
      </c>
      <c r="D19" s="34">
        <f>Input!AS9</f>
        <v>0.1</v>
      </c>
      <c r="E19" s="34">
        <f>Input!AS10</f>
        <v>0.15</v>
      </c>
      <c r="F19" s="14"/>
      <c r="G19" s="14"/>
      <c r="H19" s="14"/>
    </row>
    <row r="20" spans="2:8" x14ac:dyDescent="0.3">
      <c r="B20" s="17" t="s">
        <v>85</v>
      </c>
      <c r="C20" s="35">
        <f>-C19*$E$18</f>
        <v>0</v>
      </c>
      <c r="D20" s="35">
        <f>-D19*$E$18</f>
        <v>0</v>
      </c>
      <c r="E20" s="35">
        <f>-E19*$E$18</f>
        <v>0</v>
      </c>
      <c r="F20" s="14"/>
      <c r="G20" s="14"/>
      <c r="H20" s="14"/>
    </row>
    <row r="21" spans="2:8" ht="30.05" x14ac:dyDescent="0.3">
      <c r="B21" s="18" t="s">
        <v>86</v>
      </c>
      <c r="C21" s="36">
        <f>$E$18+C20</f>
        <v>0</v>
      </c>
      <c r="D21" s="36">
        <f t="shared" ref="D21:E21" si="0">$E$18+D20</f>
        <v>0</v>
      </c>
      <c r="E21" s="36">
        <f t="shared" si="0"/>
        <v>0</v>
      </c>
      <c r="F21" s="14"/>
      <c r="G21" s="14"/>
      <c r="H21" s="14"/>
    </row>
    <row r="22" spans="2:8" x14ac:dyDescent="0.3">
      <c r="B22" s="17" t="s">
        <v>87</v>
      </c>
      <c r="C22" s="25">
        <f>C21*Input!C38</f>
        <v>0</v>
      </c>
      <c r="D22" s="25">
        <f>D21*Input!C38</f>
        <v>0</v>
      </c>
      <c r="E22" s="25">
        <f>E21*Input!C38</f>
        <v>0</v>
      </c>
      <c r="F22" s="14"/>
      <c r="G22" s="14"/>
      <c r="H22" s="14"/>
    </row>
    <row r="23" spans="2:8" x14ac:dyDescent="0.3">
      <c r="B23" s="17" t="s">
        <v>114</v>
      </c>
      <c r="C23" s="36">
        <f>C21+C22</f>
        <v>0</v>
      </c>
      <c r="D23" s="36">
        <f t="shared" ref="D23:E23" si="1">D21+D22</f>
        <v>0</v>
      </c>
      <c r="E23" s="36">
        <f t="shared" si="1"/>
        <v>0</v>
      </c>
      <c r="F23" s="14"/>
      <c r="G23" s="14"/>
      <c r="H23" s="14"/>
    </row>
  </sheetData>
  <sheetProtection algorithmName="SHA-512" hashValue="lacfo0HTYW6TB20CaSESbkfTkgmcMZk/LDyLgDq3xsHHfjVOPpcWo8lfdnp2jSWPOjFnV/sTqEpyQKIl3lpU8w==" saltValue="HySPNr8RGw6Y7vEWM9HMAw==" spinCount="100000" sheet="1" objects="1" scenarios="1"/>
  <mergeCells count="1">
    <mergeCell ref="F17:H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0AA71-E011-4367-A1EF-65AAB4E739E2}">
  <dimension ref="A1:E19"/>
  <sheetViews>
    <sheetView workbookViewId="0">
      <selection activeCell="G23" sqref="G23"/>
    </sheetView>
  </sheetViews>
  <sheetFormatPr defaultRowHeight="15.05" x14ac:dyDescent="0.3"/>
  <cols>
    <col min="2" max="2" width="52.77734375" customWidth="1"/>
  </cols>
  <sheetData>
    <row r="1" spans="1:5" x14ac:dyDescent="0.3">
      <c r="A1" s="14"/>
      <c r="B1" s="14"/>
      <c r="C1" s="14"/>
      <c r="D1" s="14"/>
      <c r="E1" s="14"/>
    </row>
    <row r="2" spans="1:5" x14ac:dyDescent="0.3">
      <c r="A2" s="14"/>
      <c r="B2" s="17" t="s">
        <v>99</v>
      </c>
      <c r="C2" s="38">
        <f>Input!C9</f>
        <v>0</v>
      </c>
      <c r="D2" s="17"/>
      <c r="E2" s="17"/>
    </row>
    <row r="3" spans="1:5" x14ac:dyDescent="0.3">
      <c r="A3" s="14"/>
      <c r="B3" s="17" t="s">
        <v>100</v>
      </c>
      <c r="C3" s="38">
        <f>Input!C12</f>
        <v>0</v>
      </c>
      <c r="D3" s="17"/>
      <c r="E3" s="17"/>
    </row>
    <row r="4" spans="1:5" x14ac:dyDescent="0.3">
      <c r="A4" s="14"/>
      <c r="B4" s="17" t="s">
        <v>101</v>
      </c>
      <c r="C4" s="38" t="e">
        <f>IF(Input!C41&gt;0,Input!C41,Input!AO10)</f>
        <v>#N/A</v>
      </c>
      <c r="D4" s="17"/>
      <c r="E4" s="17"/>
    </row>
    <row r="5" spans="1:5" x14ac:dyDescent="0.3">
      <c r="A5" s="14"/>
      <c r="B5" s="17" t="s">
        <v>103</v>
      </c>
      <c r="C5" s="38">
        <f>IF(Input!C39&gt;0,Input!C39,1)</f>
        <v>1</v>
      </c>
      <c r="D5" s="17"/>
      <c r="E5" s="17"/>
    </row>
    <row r="6" spans="1:5" x14ac:dyDescent="0.3">
      <c r="A6" s="14"/>
      <c r="B6" s="17" t="s">
        <v>102</v>
      </c>
      <c r="C6" s="39">
        <f>IF(Input!C42&gt;0,Input!C42,20)</f>
        <v>20</v>
      </c>
      <c r="D6" s="17"/>
      <c r="E6" s="17"/>
    </row>
    <row r="7" spans="1:5" x14ac:dyDescent="0.3">
      <c r="A7" s="14"/>
      <c r="B7" s="17" t="s">
        <v>104</v>
      </c>
      <c r="C7" s="39" t="e">
        <f>C4*(C5*11)*C6</f>
        <v>#N/A</v>
      </c>
      <c r="D7" s="17"/>
      <c r="E7" s="17"/>
    </row>
    <row r="8" spans="1:5" x14ac:dyDescent="0.3">
      <c r="A8" s="14"/>
      <c r="B8" s="17"/>
      <c r="C8" s="17"/>
      <c r="D8" s="17"/>
      <c r="E8" s="17"/>
    </row>
    <row r="9" spans="1:5" x14ac:dyDescent="0.3">
      <c r="A9" s="14"/>
      <c r="B9" s="17" t="s">
        <v>105</v>
      </c>
      <c r="C9" s="17"/>
      <c r="D9" s="17"/>
      <c r="E9" s="17"/>
    </row>
    <row r="10" spans="1:5" x14ac:dyDescent="0.3">
      <c r="A10" s="14"/>
      <c r="B10" s="17" t="s">
        <v>106</v>
      </c>
      <c r="C10" s="39">
        <f>(Input!C12/1000)*30</f>
        <v>0</v>
      </c>
      <c r="D10" s="17"/>
      <c r="E10" s="17"/>
    </row>
    <row r="11" spans="1:5" x14ac:dyDescent="0.3">
      <c r="A11" s="14"/>
      <c r="B11" s="17" t="s">
        <v>107</v>
      </c>
      <c r="C11" s="40">
        <f>Input!AS3</f>
        <v>300</v>
      </c>
      <c r="D11" s="17"/>
      <c r="E11" s="17"/>
    </row>
    <row r="12" spans="1:5" x14ac:dyDescent="0.3">
      <c r="A12" s="14"/>
      <c r="B12" s="18" t="s">
        <v>108</v>
      </c>
      <c r="C12" s="41">
        <f>Input!AS1</f>
        <v>0.1</v>
      </c>
      <c r="D12" s="17"/>
      <c r="E12" s="17"/>
    </row>
    <row r="13" spans="1:5" ht="52.6" x14ac:dyDescent="0.3">
      <c r="A13" s="14"/>
      <c r="B13" s="18" t="s">
        <v>109</v>
      </c>
      <c r="C13" s="39">
        <f>C12*' Cost Material'!C23</f>
        <v>0</v>
      </c>
      <c r="D13" s="39">
        <f>C12*' Cost Material'!D23</f>
        <v>0</v>
      </c>
      <c r="E13" s="39">
        <f>C12*' Cost Material'!E23</f>
        <v>0</v>
      </c>
    </row>
    <row r="14" spans="1:5" x14ac:dyDescent="0.3">
      <c r="A14" s="14"/>
      <c r="B14" s="17"/>
      <c r="C14" s="17"/>
      <c r="D14" s="17"/>
      <c r="E14" s="17"/>
    </row>
    <row r="15" spans="1:5" x14ac:dyDescent="0.3">
      <c r="A15" s="14"/>
      <c r="B15" s="17" t="s">
        <v>112</v>
      </c>
      <c r="C15" s="39" t="e">
        <f>C7+C10+C11+C13</f>
        <v>#N/A</v>
      </c>
      <c r="D15" s="39" t="e">
        <f>C7+C10+C11+D13</f>
        <v>#N/A</v>
      </c>
      <c r="E15" s="39" t="e">
        <f>C7+C10+C11+E13</f>
        <v>#N/A</v>
      </c>
    </row>
    <row r="16" spans="1:5" x14ac:dyDescent="0.3">
      <c r="A16" s="14"/>
      <c r="B16" s="17" t="s">
        <v>110</v>
      </c>
      <c r="C16" s="42">
        <f>IF(Input!C38&gt;0,Input!C38,0.085)</f>
        <v>8.5000000000000006E-2</v>
      </c>
      <c r="D16" s="17"/>
      <c r="E16" s="17"/>
    </row>
    <row r="17" spans="1:5" x14ac:dyDescent="0.3">
      <c r="A17" s="14"/>
      <c r="B17" s="17" t="s">
        <v>111</v>
      </c>
      <c r="C17" s="39" t="e">
        <f>C15*C16</f>
        <v>#N/A</v>
      </c>
      <c r="D17" s="39" t="e">
        <f>D15*C16</f>
        <v>#N/A</v>
      </c>
      <c r="E17" s="39" t="e">
        <f>E15*C16</f>
        <v>#N/A</v>
      </c>
    </row>
    <row r="18" spans="1:5" x14ac:dyDescent="0.3">
      <c r="A18" s="14"/>
      <c r="B18" s="17" t="s">
        <v>124</v>
      </c>
      <c r="C18" s="39" t="e">
        <f>C15+C17</f>
        <v>#N/A</v>
      </c>
      <c r="D18" s="39" t="e">
        <f t="shared" ref="D18:E18" si="0">D15+D17</f>
        <v>#N/A</v>
      </c>
      <c r="E18" s="39" t="e">
        <f t="shared" si="0"/>
        <v>#N/A</v>
      </c>
    </row>
    <row r="19" spans="1:5" x14ac:dyDescent="0.3">
      <c r="A19" s="14"/>
      <c r="B19" s="43"/>
      <c r="C19" s="14"/>
      <c r="D19" s="14"/>
      <c r="E19" s="14"/>
    </row>
  </sheetData>
  <sheetProtection algorithmName="SHA-512" hashValue="ds44fvdQSeFdb0rS70CcouhwYQqCpJZTf/mZ1QxEpe1zj2U9xE/nxsTwT/AIu9irC0cclDuM8lR8Dyq5gb0fRQ==" saltValue="7n3BlLkhRD8ZzI8ODnFKb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59B0E-A628-4F52-A501-50E8CEC8F4F9}">
  <dimension ref="B1:K6"/>
  <sheetViews>
    <sheetView workbookViewId="0">
      <selection activeCell="E3" sqref="E3"/>
    </sheetView>
  </sheetViews>
  <sheetFormatPr defaultRowHeight="15.05" x14ac:dyDescent="0.3"/>
  <cols>
    <col min="2" max="2" width="26.88671875" customWidth="1"/>
    <col min="3" max="3" width="23" customWidth="1"/>
    <col min="4" max="4" width="26" customWidth="1"/>
    <col min="7" max="7" width="23.21875" customWidth="1"/>
    <col min="9" max="9" width="19.33203125" bestFit="1" customWidth="1"/>
    <col min="10" max="10" width="9" customWidth="1"/>
    <col min="11" max="11" width="17.77734375" customWidth="1"/>
  </cols>
  <sheetData>
    <row r="1" spans="2:11" x14ac:dyDescent="0.3"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2:11" x14ac:dyDescent="0.3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45.1" x14ac:dyDescent="0.3">
      <c r="B3" s="44" t="str">
        <f>' Cost Material'!B23</f>
        <v>TOTAL MATERIAL COST AFTER DISCOUNT WITH TAX=</v>
      </c>
      <c r="C3" s="44" t="str">
        <f>'Cost Labor_Ovhd'!B18</f>
        <v xml:space="preserve">TOTAL LABOR AND OTHER COST AFTER TAX = </v>
      </c>
      <c r="D3" s="44" t="s">
        <v>115</v>
      </c>
      <c r="E3" s="17"/>
      <c r="F3" s="17" t="s">
        <v>116</v>
      </c>
      <c r="G3" s="18" t="s">
        <v>117</v>
      </c>
      <c r="H3" s="17" t="str">
        <f>F3</f>
        <v>% Profit</v>
      </c>
      <c r="I3" s="18" t="str">
        <f>G3</f>
        <v>Total Material, Labor, Other Cost With Profit</v>
      </c>
      <c r="J3" s="18" t="str">
        <f>F3</f>
        <v>% Profit</v>
      </c>
      <c r="K3" s="18" t="str">
        <f>G3</f>
        <v>Total Material, Labor, Other Cost With Profit</v>
      </c>
    </row>
    <row r="4" spans="2:11" x14ac:dyDescent="0.3">
      <c r="B4" s="37">
        <f>' Cost Material'!C23</f>
        <v>0</v>
      </c>
      <c r="C4" s="37">
        <f>' Cost Material'!D23</f>
        <v>0</v>
      </c>
      <c r="D4" s="37">
        <f t="shared" ref="D4:D6" si="0">B4+C4</f>
        <v>0</v>
      </c>
      <c r="E4" s="17"/>
      <c r="F4" s="41">
        <f>Input!$AS$5</f>
        <v>0.15</v>
      </c>
      <c r="G4" s="39">
        <f>D4*(1+F4)</f>
        <v>0</v>
      </c>
      <c r="H4" s="41">
        <f>Input!$AS$6</f>
        <v>0.2</v>
      </c>
      <c r="I4" s="39">
        <f>D4*(1+H4)</f>
        <v>0</v>
      </c>
      <c r="J4" s="41">
        <f>Input!$AS$7</f>
        <v>0.3</v>
      </c>
      <c r="K4" s="39">
        <f>D4*(1+J4)</f>
        <v>0</v>
      </c>
    </row>
    <row r="5" spans="2:11" x14ac:dyDescent="0.3">
      <c r="B5" s="37">
        <f>' Cost Material'!D23</f>
        <v>0</v>
      </c>
      <c r="C5" s="37" t="e">
        <f>'Cost Labor_Ovhd'!D18</f>
        <v>#N/A</v>
      </c>
      <c r="D5" s="37" t="e">
        <f t="shared" si="0"/>
        <v>#N/A</v>
      </c>
      <c r="E5" s="17"/>
      <c r="F5" s="41">
        <f>Input!$AS$5</f>
        <v>0.15</v>
      </c>
      <c r="G5" s="39" t="e">
        <f t="shared" ref="G5:G6" si="1">D5*(1+F5)</f>
        <v>#N/A</v>
      </c>
      <c r="H5" s="41">
        <f>Input!$AS$6</f>
        <v>0.2</v>
      </c>
      <c r="I5" s="39" t="e">
        <f t="shared" ref="I5:I6" si="2">D5*(1+H5)</f>
        <v>#N/A</v>
      </c>
      <c r="J5" s="41">
        <f>Input!$AS$7</f>
        <v>0.3</v>
      </c>
      <c r="K5" s="39" t="e">
        <f t="shared" ref="K5:K6" si="3">D5*(1+J5)</f>
        <v>#N/A</v>
      </c>
    </row>
    <row r="6" spans="2:11" x14ac:dyDescent="0.3">
      <c r="B6" s="37">
        <f>' Cost Material'!E23</f>
        <v>0</v>
      </c>
      <c r="C6" s="37" t="e">
        <f>'Cost Labor_Ovhd'!E18</f>
        <v>#N/A</v>
      </c>
      <c r="D6" s="37" t="e">
        <f t="shared" si="0"/>
        <v>#N/A</v>
      </c>
      <c r="E6" s="17"/>
      <c r="F6" s="41">
        <f>Input!$AS$5</f>
        <v>0.15</v>
      </c>
      <c r="G6" s="39" t="e">
        <f t="shared" si="1"/>
        <v>#N/A</v>
      </c>
      <c r="H6" s="41">
        <f>Input!$AS$6</f>
        <v>0.2</v>
      </c>
      <c r="I6" s="39" t="e">
        <f t="shared" si="2"/>
        <v>#N/A</v>
      </c>
      <c r="J6" s="41">
        <f>Input!$AS$7</f>
        <v>0.3</v>
      </c>
      <c r="K6" s="39" t="e">
        <f t="shared" si="3"/>
        <v>#N/A</v>
      </c>
    </row>
  </sheetData>
  <sheetProtection algorithmName="SHA-512" hashValue="0++kmJonZWMGRIL7S9PMvY/zDcSOV5DAlLHSmsudxCmSjGAPXeO/Rz+IFpRdV9K/WE68LGDnUtwg2sH1vNVwCg==" saltValue="7B4Sd3ye/vTmMlDX70SnD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78902-D354-489B-832C-B4C9983CF0B1}">
  <sheetPr>
    <pageSetUpPr fitToPage="1"/>
  </sheetPr>
  <dimension ref="A1:Q53"/>
  <sheetViews>
    <sheetView workbookViewId="0">
      <selection activeCell="K27" sqref="K27"/>
    </sheetView>
  </sheetViews>
  <sheetFormatPr defaultRowHeight="15.05" x14ac:dyDescent="0.3"/>
  <cols>
    <col min="2" max="2" width="34.6640625" customWidth="1"/>
    <col min="3" max="3" width="24" customWidth="1"/>
    <col min="4" max="4" width="14.109375" customWidth="1"/>
    <col min="5" max="5" width="12.6640625" customWidth="1"/>
    <col min="6" max="6" width="11.44140625" customWidth="1"/>
    <col min="13" max="13" width="12.21875" customWidth="1"/>
    <col min="15" max="15" width="12" customWidth="1"/>
    <col min="16" max="16" width="10.21875" customWidth="1"/>
    <col min="18" max="18" width="11.21875" customWidth="1"/>
  </cols>
  <sheetData>
    <row r="1" spans="1:17" x14ac:dyDescent="0.3">
      <c r="A1" s="14"/>
      <c r="B1" s="58" t="s">
        <v>140</v>
      </c>
      <c r="C1" s="58"/>
      <c r="D1" s="58"/>
      <c r="E1" s="58"/>
      <c r="F1" s="58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3">
      <c r="A2" s="14"/>
      <c r="B2" s="17" t="s">
        <v>119</v>
      </c>
      <c r="C2" s="45">
        <f>Input!C3</f>
        <v>0</v>
      </c>
      <c r="D2" s="55"/>
      <c r="E2" s="56"/>
      <c r="F2" s="5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x14ac:dyDescent="0.3">
      <c r="A3" s="14"/>
      <c r="B3" s="17" t="s">
        <v>120</v>
      </c>
      <c r="C3" s="45">
        <f>Input!C5</f>
        <v>0</v>
      </c>
      <c r="D3" s="45">
        <f>Input!C6</f>
        <v>0</v>
      </c>
      <c r="E3" s="45">
        <f>Input!C7</f>
        <v>0</v>
      </c>
      <c r="F3" s="45">
        <f>Input!C8</f>
        <v>0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x14ac:dyDescent="0.3">
      <c r="A4" s="14"/>
      <c r="B4" s="17" t="s">
        <v>121</v>
      </c>
      <c r="C4" s="45">
        <f>Input!C9</f>
        <v>0</v>
      </c>
      <c r="D4" s="61"/>
      <c r="E4" s="67"/>
      <c r="F4" s="62"/>
      <c r="G4" s="14"/>
      <c r="H4" s="14"/>
      <c r="I4" s="14"/>
      <c r="J4" s="14"/>
      <c r="K4" s="14"/>
      <c r="L4" s="14"/>
      <c r="M4" s="14"/>
      <c r="N4" s="14" t="s">
        <v>131</v>
      </c>
      <c r="O4" s="14" t="s">
        <v>132</v>
      </c>
      <c r="P4" s="14" t="s">
        <v>133</v>
      </c>
      <c r="Q4" s="14"/>
    </row>
    <row r="5" spans="1:17" x14ac:dyDescent="0.3">
      <c r="A5" s="14"/>
      <c r="B5" s="17" t="s">
        <v>122</v>
      </c>
      <c r="C5" s="45">
        <f>Input!C12</f>
        <v>0</v>
      </c>
      <c r="D5" s="65"/>
      <c r="E5" s="68"/>
      <c r="F5" s="66"/>
      <c r="G5" s="14"/>
      <c r="H5" s="14"/>
      <c r="I5" s="14"/>
      <c r="J5" s="14"/>
      <c r="K5" s="14"/>
      <c r="L5" s="14"/>
      <c r="M5" s="14" t="s">
        <v>136</v>
      </c>
      <c r="N5" s="46" t="e">
        <f>E13-(N6+N7)</f>
        <v>#N/A</v>
      </c>
      <c r="O5" s="46" t="e">
        <f>D13-(O6+O7)</f>
        <v>#N/A</v>
      </c>
      <c r="P5" s="46" t="e">
        <f>C13-(P6+P7)</f>
        <v>#N/A</v>
      </c>
      <c r="Q5" s="14"/>
    </row>
    <row r="6" spans="1:17" x14ac:dyDescent="0.3">
      <c r="A6" s="14"/>
      <c r="B6" s="17"/>
      <c r="C6" s="55"/>
      <c r="D6" s="56"/>
      <c r="E6" s="56"/>
      <c r="F6" s="57"/>
      <c r="G6" s="14"/>
      <c r="H6" s="14"/>
      <c r="I6" s="14"/>
      <c r="J6" s="14"/>
      <c r="K6" s="14"/>
      <c r="L6" s="14"/>
      <c r="M6" s="14" t="s">
        <v>135</v>
      </c>
      <c r="N6" s="46" t="e">
        <f>E9</f>
        <v>#N/A</v>
      </c>
      <c r="O6" s="46" t="e">
        <f>D9</f>
        <v>#N/A</v>
      </c>
      <c r="P6" s="46" t="e">
        <f>C9</f>
        <v>#N/A</v>
      </c>
      <c r="Q6" s="14"/>
    </row>
    <row r="7" spans="1:17" x14ac:dyDescent="0.3">
      <c r="A7" s="14"/>
      <c r="B7" s="17" t="str">
        <f>' Cost Material'!B19</f>
        <v>CONTRACTOR MATERIAL DISCOUNT</v>
      </c>
      <c r="C7" s="47">
        <f>' Cost Material'!C19</f>
        <v>0.05</v>
      </c>
      <c r="D7" s="47">
        <f>' Cost Material'!D19</f>
        <v>0.1</v>
      </c>
      <c r="E7" s="47">
        <f>' Cost Material'!E19</f>
        <v>0.15</v>
      </c>
      <c r="F7" s="59"/>
      <c r="G7" s="14"/>
      <c r="H7" s="14"/>
      <c r="I7" s="14"/>
      <c r="J7" s="14"/>
      <c r="K7" s="14"/>
      <c r="L7" s="14"/>
      <c r="M7" s="14" t="s">
        <v>134</v>
      </c>
      <c r="N7" s="46">
        <f>E8</f>
        <v>0</v>
      </c>
      <c r="O7" s="46">
        <f>D8</f>
        <v>0</v>
      </c>
      <c r="P7" s="46">
        <f>C8</f>
        <v>0</v>
      </c>
      <c r="Q7" s="14"/>
    </row>
    <row r="8" spans="1:17" ht="30.05" x14ac:dyDescent="0.3">
      <c r="A8" s="14"/>
      <c r="B8" s="18" t="str">
        <f>' Cost Material'!B23</f>
        <v>TOTAL MATERIAL COST AFTER DISCOUNT WITH TAX=</v>
      </c>
      <c r="C8" s="37">
        <f>' Cost Material'!C23</f>
        <v>0</v>
      </c>
      <c r="D8" s="37">
        <f>' Cost Material'!D23</f>
        <v>0</v>
      </c>
      <c r="E8" s="37">
        <f>' Cost Material'!E23</f>
        <v>0</v>
      </c>
      <c r="F8" s="69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30.05" x14ac:dyDescent="0.3">
      <c r="A9" s="14"/>
      <c r="B9" s="18" t="str">
        <f>'Cost Labor_Ovhd'!B18</f>
        <v xml:space="preserve">TOTAL LABOR AND OTHER COST AFTER TAX = </v>
      </c>
      <c r="C9" s="37" t="e">
        <f>'Cost Labor_Ovhd'!C18</f>
        <v>#N/A</v>
      </c>
      <c r="D9" s="37" t="e">
        <f>'Cost Labor_Ovhd'!D18</f>
        <v>#N/A</v>
      </c>
      <c r="E9" s="37" t="e">
        <f>'Cost Labor_Ovhd'!E18</f>
        <v>#N/A</v>
      </c>
      <c r="F9" s="69"/>
      <c r="G9" s="14"/>
      <c r="H9" s="14"/>
      <c r="I9" s="14"/>
      <c r="J9" s="14"/>
      <c r="K9" s="14"/>
      <c r="L9" s="14"/>
      <c r="M9" s="14" t="s">
        <v>137</v>
      </c>
      <c r="N9" s="46" t="e">
        <f>E16-(N10+N11)</f>
        <v>#N/A</v>
      </c>
      <c r="O9" s="46" t="e">
        <f>D16-(O10+O11)</f>
        <v>#N/A</v>
      </c>
      <c r="P9" s="46" t="e">
        <f>C16-(P10+P11)</f>
        <v>#N/A</v>
      </c>
      <c r="Q9" s="14"/>
    </row>
    <row r="10" spans="1:17" x14ac:dyDescent="0.3">
      <c r="A10" s="14"/>
      <c r="B10" s="17" t="s">
        <v>125</v>
      </c>
      <c r="C10" s="37" t="e">
        <f>C8+C9</f>
        <v>#N/A</v>
      </c>
      <c r="D10" s="37" t="e">
        <f t="shared" ref="D10" si="0">D8+D9</f>
        <v>#N/A</v>
      </c>
      <c r="E10" s="37" t="e">
        <f>E8+E9</f>
        <v>#N/A</v>
      </c>
      <c r="F10" s="60"/>
      <c r="G10" s="14"/>
      <c r="H10" s="14"/>
      <c r="I10" s="14"/>
      <c r="J10" s="14"/>
      <c r="K10" s="14"/>
      <c r="L10" s="14"/>
      <c r="M10" s="14" t="s">
        <v>135</v>
      </c>
      <c r="N10" s="46" t="e">
        <f>N6</f>
        <v>#N/A</v>
      </c>
      <c r="O10" s="46" t="e">
        <f t="shared" ref="O10:P10" si="1">O6</f>
        <v>#N/A</v>
      </c>
      <c r="P10" s="46" t="e">
        <f t="shared" si="1"/>
        <v>#N/A</v>
      </c>
      <c r="Q10" s="14"/>
    </row>
    <row r="11" spans="1:17" x14ac:dyDescent="0.3">
      <c r="A11" s="14"/>
      <c r="B11" s="17"/>
      <c r="C11" s="55"/>
      <c r="D11" s="56"/>
      <c r="E11" s="56"/>
      <c r="F11" s="57"/>
      <c r="G11" s="14"/>
      <c r="H11" s="14"/>
      <c r="I11" s="14"/>
      <c r="J11" s="14"/>
      <c r="K11" s="14"/>
      <c r="L11" s="14"/>
      <c r="M11" s="14" t="s">
        <v>134</v>
      </c>
      <c r="N11" s="46">
        <f>N7</f>
        <v>0</v>
      </c>
      <c r="O11" s="46">
        <f>O7</f>
        <v>0</v>
      </c>
      <c r="P11" s="46">
        <f>P7</f>
        <v>0</v>
      </c>
      <c r="Q11" s="14"/>
    </row>
    <row r="12" spans="1:17" x14ac:dyDescent="0.3">
      <c r="A12" s="14"/>
      <c r="B12" s="48" t="s">
        <v>126</v>
      </c>
      <c r="C12" s="47">
        <f>'Profit Analysis'!F4</f>
        <v>0.15</v>
      </c>
      <c r="D12" s="47">
        <f>'Profit Analysis'!F4</f>
        <v>0.15</v>
      </c>
      <c r="E12" s="47">
        <f>'Profit Analysis'!F4</f>
        <v>0.15</v>
      </c>
      <c r="F12" s="59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x14ac:dyDescent="0.3">
      <c r="A13" s="14"/>
      <c r="B13" s="17" t="s">
        <v>127</v>
      </c>
      <c r="C13" s="37">
        <f>'Profit Analysis'!G4</f>
        <v>0</v>
      </c>
      <c r="D13" s="37" t="e">
        <f>'Profit Analysis'!G5</f>
        <v>#N/A</v>
      </c>
      <c r="E13" s="37" t="e">
        <f>'Profit Analysis'!G6</f>
        <v>#N/A</v>
      </c>
      <c r="F13" s="60"/>
      <c r="G13" s="14"/>
      <c r="H13" s="14"/>
      <c r="I13" s="14"/>
      <c r="J13" s="14"/>
      <c r="K13" s="14"/>
      <c r="L13" s="14"/>
      <c r="M13" s="14" t="s">
        <v>138</v>
      </c>
      <c r="N13" s="46" t="e">
        <f>E19-(N14+N15)</f>
        <v>#N/A</v>
      </c>
      <c r="O13" s="46" t="e">
        <f>D19-(O14+O15)</f>
        <v>#N/A</v>
      </c>
      <c r="P13" s="46" t="e">
        <f>C19-(P14+P15)</f>
        <v>#N/A</v>
      </c>
      <c r="Q13" s="14"/>
    </row>
    <row r="14" spans="1:17" x14ac:dyDescent="0.3">
      <c r="A14" s="14"/>
      <c r="B14" s="17"/>
      <c r="C14" s="55"/>
      <c r="D14" s="56"/>
      <c r="E14" s="56"/>
      <c r="F14" s="57"/>
      <c r="G14" s="14"/>
      <c r="H14" s="14"/>
      <c r="I14" s="14"/>
      <c r="J14" s="14"/>
      <c r="K14" s="14"/>
      <c r="L14" s="14"/>
      <c r="M14" s="14" t="s">
        <v>135</v>
      </c>
      <c r="N14" s="46" t="e">
        <f>N6</f>
        <v>#N/A</v>
      </c>
      <c r="O14" s="46" t="e">
        <f t="shared" ref="O14:P14" si="2">O6</f>
        <v>#N/A</v>
      </c>
      <c r="P14" s="46" t="e">
        <f t="shared" si="2"/>
        <v>#N/A</v>
      </c>
      <c r="Q14" s="14"/>
    </row>
    <row r="15" spans="1:17" x14ac:dyDescent="0.3">
      <c r="A15" s="14"/>
      <c r="B15" s="48" t="str">
        <f>B12</f>
        <v>Indicative profit %</v>
      </c>
      <c r="C15" s="47">
        <f>'Profit Analysis'!H4</f>
        <v>0.2</v>
      </c>
      <c r="D15" s="47">
        <f>'Profit Analysis'!H4</f>
        <v>0.2</v>
      </c>
      <c r="E15" s="47">
        <f>'Profit Analysis'!H4</f>
        <v>0.2</v>
      </c>
      <c r="F15" s="59"/>
      <c r="G15" s="14"/>
      <c r="H15" s="14"/>
      <c r="I15" s="14"/>
      <c r="J15" s="14"/>
      <c r="K15" s="14"/>
      <c r="L15" s="14"/>
      <c r="M15" s="14" t="s">
        <v>134</v>
      </c>
      <c r="N15" s="46">
        <f>N7</f>
        <v>0</v>
      </c>
      <c r="O15" s="46">
        <f>O7</f>
        <v>0</v>
      </c>
      <c r="P15" s="46">
        <f>P7</f>
        <v>0</v>
      </c>
      <c r="Q15" s="14"/>
    </row>
    <row r="16" spans="1:17" x14ac:dyDescent="0.3">
      <c r="A16" s="14"/>
      <c r="B16" s="17" t="str">
        <f>B13</f>
        <v>TOTAL PROJECT COST WITH PROFIT =</v>
      </c>
      <c r="C16" s="37">
        <f>'Profit Analysis'!I4</f>
        <v>0</v>
      </c>
      <c r="D16" s="37" t="e">
        <f>'Profit Analysis'!I5</f>
        <v>#N/A</v>
      </c>
      <c r="E16" s="37" t="e">
        <f>'Profit Analysis'!I6</f>
        <v>#N/A</v>
      </c>
      <c r="F16" s="60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x14ac:dyDescent="0.3">
      <c r="A17" s="14"/>
      <c r="B17" s="17"/>
      <c r="C17" s="55"/>
      <c r="D17" s="56"/>
      <c r="E17" s="56"/>
      <c r="F17" s="57"/>
      <c r="G17" s="14"/>
      <c r="H17" s="14"/>
      <c r="I17" s="14"/>
      <c r="J17" s="14"/>
      <c r="K17" s="14"/>
      <c r="L17" s="14"/>
      <c r="M17" s="14"/>
      <c r="N17" s="14" t="s">
        <v>134</v>
      </c>
      <c r="O17" s="14" t="s">
        <v>135</v>
      </c>
      <c r="P17" s="14" t="s">
        <v>139</v>
      </c>
      <c r="Q17" s="14"/>
    </row>
    <row r="18" spans="1:17" x14ac:dyDescent="0.3">
      <c r="A18" s="14"/>
      <c r="B18" s="48" t="str">
        <f>B12</f>
        <v>Indicative profit %</v>
      </c>
      <c r="C18" s="47">
        <f>'Profit Analysis'!J4</f>
        <v>0.3</v>
      </c>
      <c r="D18" s="47">
        <f>'Profit Analysis'!J4</f>
        <v>0.3</v>
      </c>
      <c r="E18" s="47">
        <f>'Profit Analysis'!J4</f>
        <v>0.3</v>
      </c>
      <c r="F18" s="59"/>
      <c r="G18" s="14"/>
      <c r="H18" s="14"/>
      <c r="I18" s="14"/>
      <c r="J18" s="14"/>
      <c r="K18" s="14"/>
      <c r="L18" s="14"/>
      <c r="M18" s="14" t="s">
        <v>131</v>
      </c>
      <c r="N18" s="46">
        <f>N7</f>
        <v>0</v>
      </c>
      <c r="O18" s="46" t="e">
        <f>N6</f>
        <v>#N/A</v>
      </c>
      <c r="P18" s="46" t="e">
        <f>N5</f>
        <v>#N/A</v>
      </c>
      <c r="Q18" s="14"/>
    </row>
    <row r="19" spans="1:17" x14ac:dyDescent="0.3">
      <c r="A19" s="14"/>
      <c r="B19" s="17" t="str">
        <f>B13</f>
        <v>TOTAL PROJECT COST WITH PROFIT =</v>
      </c>
      <c r="C19" s="37">
        <f>'Profit Analysis'!K4</f>
        <v>0</v>
      </c>
      <c r="D19" s="37" t="e">
        <f>'Profit Analysis'!K5</f>
        <v>#N/A</v>
      </c>
      <c r="E19" s="37" t="e">
        <f>'Profit Analysis'!K6</f>
        <v>#N/A</v>
      </c>
      <c r="F19" s="60"/>
      <c r="G19" s="14"/>
      <c r="H19" s="14"/>
      <c r="I19" s="14"/>
      <c r="J19" s="14"/>
      <c r="K19" s="14"/>
      <c r="L19" s="14"/>
      <c r="M19" s="14" t="s">
        <v>132</v>
      </c>
      <c r="N19" s="46">
        <f>O7</f>
        <v>0</v>
      </c>
      <c r="O19" s="46" t="e">
        <f>O6</f>
        <v>#N/A</v>
      </c>
      <c r="P19" s="46" t="e">
        <f>O5</f>
        <v>#N/A</v>
      </c>
      <c r="Q19" s="14"/>
    </row>
    <row r="20" spans="1:17" x14ac:dyDescent="0.3">
      <c r="A20" s="14"/>
      <c r="B20" s="17"/>
      <c r="C20" s="55"/>
      <c r="D20" s="56"/>
      <c r="E20" s="56"/>
      <c r="F20" s="57"/>
      <c r="G20" s="14"/>
      <c r="H20" s="14"/>
      <c r="I20" s="14"/>
      <c r="J20" s="14"/>
      <c r="K20" s="14"/>
      <c r="L20" s="14"/>
      <c r="M20" s="14" t="s">
        <v>133</v>
      </c>
      <c r="N20" s="46">
        <f>P7</f>
        <v>0</v>
      </c>
      <c r="O20" s="46" t="e">
        <f>P6</f>
        <v>#N/A</v>
      </c>
      <c r="P20" s="46" t="e">
        <f>P5</f>
        <v>#N/A</v>
      </c>
      <c r="Q20" s="14"/>
    </row>
    <row r="21" spans="1:17" x14ac:dyDescent="0.3">
      <c r="A21" s="14"/>
      <c r="B21" s="17" t="s">
        <v>128</v>
      </c>
      <c r="C21" s="37" t="e">
        <f>E13</f>
        <v>#N/A</v>
      </c>
      <c r="D21" s="37">
        <f>C19</f>
        <v>0</v>
      </c>
      <c r="E21" s="61"/>
      <c r="F21" s="62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x14ac:dyDescent="0.3">
      <c r="A22" s="14"/>
      <c r="B22" s="17" t="s">
        <v>129</v>
      </c>
      <c r="C22" s="49" t="e">
        <f>C21/Input!C12</f>
        <v>#N/A</v>
      </c>
      <c r="D22" s="49" t="e">
        <f>D21/Input!C12</f>
        <v>#DIV/0!</v>
      </c>
      <c r="E22" s="63"/>
      <c r="F22" s="64"/>
      <c r="G22" s="14"/>
      <c r="H22" s="14"/>
      <c r="I22" s="14"/>
      <c r="J22" s="14"/>
      <c r="K22" s="14"/>
      <c r="L22" s="14"/>
      <c r="M22" s="14" t="str">
        <f>M18</f>
        <v>Low Cost</v>
      </c>
      <c r="N22" s="46">
        <f>N11</f>
        <v>0</v>
      </c>
      <c r="O22" s="46" t="e">
        <f>N10</f>
        <v>#N/A</v>
      </c>
      <c r="P22" s="46" t="e">
        <f>N9</f>
        <v>#N/A</v>
      </c>
      <c r="Q22" s="14"/>
    </row>
    <row r="23" spans="1:17" x14ac:dyDescent="0.3">
      <c r="A23" s="14"/>
      <c r="B23" s="17" t="s">
        <v>130</v>
      </c>
      <c r="C23" s="37" t="e">
        <f>C21/' Cost Material'!C3</f>
        <v>#N/A</v>
      </c>
      <c r="D23" s="37" t="e">
        <f>D21/' Cost Material'!C3</f>
        <v>#DIV/0!</v>
      </c>
      <c r="E23" s="65"/>
      <c r="F23" s="66"/>
      <c r="G23" s="14"/>
      <c r="H23" s="14"/>
      <c r="I23" s="14"/>
      <c r="J23" s="14"/>
      <c r="K23" s="14"/>
      <c r="L23" s="14"/>
      <c r="M23" s="14" t="str">
        <f t="shared" ref="M23:M24" si="3">M19</f>
        <v>Medium Cost</v>
      </c>
      <c r="N23" s="46">
        <f>O11</f>
        <v>0</v>
      </c>
      <c r="O23" s="46" t="e">
        <f>O10</f>
        <v>#N/A</v>
      </c>
      <c r="P23" s="46" t="e">
        <f>O9</f>
        <v>#N/A</v>
      </c>
      <c r="Q23" s="14"/>
    </row>
    <row r="24" spans="1:17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 t="str">
        <f t="shared" si="3"/>
        <v>High Cost</v>
      </c>
      <c r="N24" s="46">
        <f>P11</f>
        <v>0</v>
      </c>
      <c r="O24" s="46" t="e">
        <f>P10</f>
        <v>#N/A</v>
      </c>
      <c r="P24" s="46" t="e">
        <f>P9</f>
        <v>#N/A</v>
      </c>
      <c r="Q24" s="14"/>
    </row>
    <row r="25" spans="1:17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 t="str">
        <f>M18</f>
        <v>Low Cost</v>
      </c>
      <c r="N26" s="46">
        <f>N15</f>
        <v>0</v>
      </c>
      <c r="O26" s="46" t="e">
        <f>N14</f>
        <v>#N/A</v>
      </c>
      <c r="P26" s="46" t="e">
        <f>N13</f>
        <v>#N/A</v>
      </c>
      <c r="Q26" s="14"/>
    </row>
    <row r="27" spans="1:17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 t="str">
        <f t="shared" ref="M27:M28" si="4">M19</f>
        <v>Medium Cost</v>
      </c>
      <c r="N27" s="46">
        <f>O15</f>
        <v>0</v>
      </c>
      <c r="O27" s="46" t="e">
        <f>O14</f>
        <v>#N/A</v>
      </c>
      <c r="P27" s="46" t="e">
        <f>O13</f>
        <v>#N/A</v>
      </c>
      <c r="Q27" s="14"/>
    </row>
    <row r="28" spans="1:17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 t="str">
        <f t="shared" si="4"/>
        <v>High Cost</v>
      </c>
      <c r="N28" s="46">
        <f>P15</f>
        <v>0</v>
      </c>
      <c r="O28" s="46" t="e">
        <f>P14</f>
        <v>#N/A</v>
      </c>
      <c r="P28" s="46" t="e">
        <f>P13</f>
        <v>#N/A</v>
      </c>
      <c r="Q28" s="14"/>
    </row>
    <row r="29" spans="1:17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</sheetData>
  <sheetProtection algorithmName="SHA-512" hashValue="OyPXMiXaYCdQLkJpTw8CFrQaL5OubrEJmWKjQFyKCGuq8F9kc+jAW69q7Pi/fdftImZr540WvFGulLto0Zj4Eg==" saltValue="XgPgyo1VQtWOnNQTuHjFgQ==" spinCount="100000" sheet="1" objects="1" scenarios="1"/>
  <mergeCells count="13">
    <mergeCell ref="C20:F20"/>
    <mergeCell ref="E21:F23"/>
    <mergeCell ref="D2:F2"/>
    <mergeCell ref="D4:F5"/>
    <mergeCell ref="C6:F6"/>
    <mergeCell ref="F7:F10"/>
    <mergeCell ref="C11:F11"/>
    <mergeCell ref="F12:F13"/>
    <mergeCell ref="B1:F1"/>
    <mergeCell ref="C14:F14"/>
    <mergeCell ref="F15:F16"/>
    <mergeCell ref="C17:F17"/>
    <mergeCell ref="F18:F19"/>
  </mergeCells>
  <pageMargins left="0.7" right="0.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Input</vt:lpstr>
      <vt:lpstr> Cost Material</vt:lpstr>
      <vt:lpstr>Cost Labor_Ovhd</vt:lpstr>
      <vt:lpstr>Profit Analysis</vt:lpstr>
      <vt:lpstr>Cost Report</vt:lpstr>
      <vt:lpstr>'Cost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Killion</dc:creator>
  <cp:lastModifiedBy>Larry Killion</cp:lastModifiedBy>
  <cp:lastPrinted>2021-03-08T15:05:57Z</cp:lastPrinted>
  <dcterms:created xsi:type="dcterms:W3CDTF">2021-03-07T18:57:28Z</dcterms:created>
  <dcterms:modified xsi:type="dcterms:W3CDTF">2021-03-17T22:10:32Z</dcterms:modified>
</cp:coreProperties>
</file>